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2.xml" ContentType="application/vnd.ms-excel.controlproperties+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drawings/drawing8.xml" ContentType="application/vnd.openxmlformats-officedocument.drawing+xml"/>
  <Override PartName="/xl/embeddings/oleObject1.bin" ContentType="application/vnd.openxmlformats-officedocument.oleObject"/>
  <Override PartName="/xl/comments2.xml" ContentType="application/vnd.openxmlformats-officedocument.spreadsheetml.comments+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ml.chartshapes+xml"/>
  <Override PartName="/xl/charts/chart16.xml" ContentType="application/vnd.openxmlformats-officedocument.drawingml.chart+xml"/>
  <Override PartName="/xl/drawings/drawing10.xml" ContentType="application/vnd.openxmlformats-officedocument.drawingml.chartshapes+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autoCompressPictures="0"/>
  <mc:AlternateContent xmlns:mc="http://schemas.openxmlformats.org/markup-compatibility/2006">
    <mc:Choice Requires="x15">
      <x15ac:absPath xmlns:x15ac="http://schemas.microsoft.com/office/spreadsheetml/2010/11/ac" url="C:\Users\12508\Desktop\"/>
    </mc:Choice>
  </mc:AlternateContent>
  <xr:revisionPtr revIDLastSave="0" documentId="13_ncr:1_{1AB46DA3-C667-4C9C-BC05-E761349B73D9}" xr6:coauthVersionLast="44" xr6:coauthVersionMax="44" xr10:uidLastSave="{00000000-0000-0000-0000-000000000000}"/>
  <workbookProtection workbookPassword="CCC8" lockStructure="1"/>
  <bookViews>
    <workbookView xWindow="28680" yWindow="-120" windowWidth="29040" windowHeight="15840" tabRatio="420" xr2:uid="{00000000-000D-0000-FFFF-FFFF00000000}"/>
  </bookViews>
  <sheets>
    <sheet name="Design Converter" sheetId="1" r:id="rId1"/>
    <sheet name="BOM &amp; Schematic" sheetId="16" r:id="rId2"/>
    <sheet name="EVMs" sheetId="14" r:id="rId3"/>
    <sheet name="Variable Mgmt" sheetId="2" state="hidden" r:id="rId4"/>
    <sheet name="Calculations - Single" sheetId="24" state="hidden" r:id="rId5"/>
    <sheet name="Calculations - Dual" sheetId="25" state="hidden" r:id="rId6"/>
    <sheet name="Fsw vs VIN" sheetId="23" state="hidden" r:id="rId7"/>
    <sheet name="Parameters" sheetId="19" state="hidden" r:id="rId8"/>
    <sheet name="Efficiency Plots" sheetId="22" state="hidden" r:id="rId9"/>
    <sheet name="Fsw Plots" sheetId="28" state="hidden" r:id="rId10"/>
    <sheet name="Schematic Mgmt" sheetId="21" state="hidden" r:id="rId11"/>
    <sheet name="Standard Value Calculator" sheetId="8" state="hidden" r:id="rId12"/>
  </sheets>
  <definedNames>
    <definedName name="_Don1">'Variable Mgmt'!$B$60</definedName>
    <definedName name="BDserR">Parameters!$D$49</definedName>
    <definedName name="Cb">'Variable Mgmt'!$B$154</definedName>
    <definedName name="Cin" localSheetId="7">Parameters!$D$30</definedName>
    <definedName name="Cin">'Variable Mgmt'!$B$120</definedName>
    <definedName name="CinEsrMax">'Variable Mgmt'!$B$122</definedName>
    <definedName name="Cinmin">'Variable Mgmt'!$B$118</definedName>
    <definedName name="CONFIG">'Variable Mgmt'!$C$52</definedName>
    <definedName name="Coss">Parameters!$D$44</definedName>
    <definedName name="Cout" localSheetId="7">Parameters!$D$32</definedName>
    <definedName name="Cout">'Variable Mgmt'!$B$95</definedName>
    <definedName name="Cout_Voltage_Rating">'Variable Mgmt'!$S$53</definedName>
    <definedName name="Cout2">'Variable Mgmt'!$B$105</definedName>
    <definedName name="CoutEsr">'Variable Mgmt'!$B$97</definedName>
    <definedName name="CoutEsr2">'Variable Mgmt'!$B$107</definedName>
    <definedName name="Css">'Variable Mgmt'!$B$134</definedName>
    <definedName name="Css_u">'Variable Mgmt'!$B$135</definedName>
    <definedName name="Csw">Parameters!$D$45</definedName>
    <definedName name="Diode_TC">'Variable Mgmt'!$B$165</definedName>
    <definedName name="Don_Vinmax">'Variable Mgmt'!$B$63</definedName>
    <definedName name="Don_Vinmin">'Variable Mgmt'!$B$61</definedName>
    <definedName name="Don_Vinnom">'Variable Mgmt'!$B$62</definedName>
    <definedName name="EFF_DUAL">'Efficiency Plots'!$B$7</definedName>
    <definedName name="EFF_SINGLE">'Efficiency Plots'!$B$5</definedName>
    <definedName name="Efficiency">'Variable Mgmt'!$B$33</definedName>
    <definedName name="Fsw" localSheetId="7">Parameters!$D$20</definedName>
    <definedName name="Fsw_DCM">'Variable Mgmt'!$B$39</definedName>
    <definedName name="Fsw_DUAL">'Fsw Plots'!$B$7</definedName>
    <definedName name="Fsw_max">Parameters!$D$21</definedName>
    <definedName name="Fsw_SINGLE">'Fsw Plots'!$B$5</definedName>
    <definedName name="Icinrms">'Variable Mgmt'!$B$117</definedName>
    <definedName name="Icoutrms">'Variable Mgmt'!$B$89</definedName>
    <definedName name="Iin_Vinmax">'Variable Mgmt'!$B$37</definedName>
    <definedName name="Iin_Vinmin">'Variable Mgmt'!$B$35</definedName>
    <definedName name="Iin_Vinnom">'Variable Mgmt'!$B$36</definedName>
    <definedName name="Iout">'Variable Mgmt'!$B$12</definedName>
    <definedName name="Iout_max">Parameters!$D$10</definedName>
    <definedName name="Iout2">'Variable Mgmt'!$B$18</definedName>
    <definedName name="Iout2_actual">'Variable Mgmt'!$B$19</definedName>
    <definedName name="Ioutmax_Vinmax" localSheetId="5">'Calculations - Dual'!$Q$216</definedName>
    <definedName name="Ioutmax_Vinmax">'Calculations - Single'!$P$216</definedName>
    <definedName name="Ioutmax_Vinmin" localSheetId="5">'Calculations - Dual'!$Q$110</definedName>
    <definedName name="Ioutmax_Vinmin">'Calculations - Single'!$P$110</definedName>
    <definedName name="Ioutmax_Vinnom" localSheetId="5">'Calculations - Dual'!$Q$5</definedName>
    <definedName name="Ioutmax_Vinnom">'Calculations - Single'!$P$5</definedName>
    <definedName name="IQ">Parameters!$D$38</definedName>
    <definedName name="Iripple">Parameters!$D$19</definedName>
    <definedName name="Iripple_Vinmax" localSheetId="5">'Variable Mgmt'!#REF!</definedName>
    <definedName name="Iripple_Vinmax" localSheetId="9">'Variable Mgmt'!#REF!</definedName>
    <definedName name="Iripple_Vinmax">'Variable Mgmt'!#REF!</definedName>
    <definedName name="Iripple_Vinmin" localSheetId="5">'Variable Mgmt'!#REF!</definedName>
    <definedName name="Iripple_Vinmin" localSheetId="9">'Variable Mgmt'!#REF!</definedName>
    <definedName name="Iripple_Vinmin">'Variable Mgmt'!#REF!</definedName>
    <definedName name="Iripple_Vinnom" localSheetId="5">'Variable Mgmt'!#REF!</definedName>
    <definedName name="Iripple_Vinnom" localSheetId="9">'Variable Mgmt'!#REF!</definedName>
    <definedName name="Iripple_Vinnom">'Variable Mgmt'!#REF!</definedName>
    <definedName name="Iripple1" localSheetId="5">'Variable Mgmt'!#REF!</definedName>
    <definedName name="Iripple1" localSheetId="9">'Variable Mgmt'!#REF!</definedName>
    <definedName name="Iripple1">'Variable Mgmt'!#REF!</definedName>
    <definedName name="Iss">'Variable Mgmt'!$B$133</definedName>
    <definedName name="Isw_max">Parameters!$D$35</definedName>
    <definedName name="Isw_min">Parameters!$D$36</definedName>
    <definedName name="Iuvlo_hys">'Variable Mgmt'!$B$144</definedName>
    <definedName name="Iuvlo1">'Variable Mgmt'!$B$142</definedName>
    <definedName name="Iuvlo2">'Variable Mgmt'!$B$143</definedName>
    <definedName name="k_core">Parameters!$D$29</definedName>
    <definedName name="L">Parameters!$D$26</definedName>
    <definedName name="Lf">'Variable Mgmt'!$B$73</definedName>
    <definedName name="Lleak">'Variable Mgmt'!$B$74</definedName>
    <definedName name="Lmin">'Variable Mgmt'!$B$84</definedName>
    <definedName name="Ltc">'Variable Mgmt'!$B$176</definedName>
    <definedName name="max_I">Parameters!$H$109</definedName>
    <definedName name="min_I">Parameters!$H$108</definedName>
    <definedName name="MODE">'Variable Mgmt'!$C$51</definedName>
    <definedName name="MODE_SS">'Variable Mgmt'!$J$56</definedName>
    <definedName name="MODE_TC">'Variable Mgmt'!$G$50</definedName>
    <definedName name="MODE_TOP">'Variable Mgmt'!$B$51</definedName>
    <definedName name="MODE_UVLO">'Variable Mgmt'!$G$56</definedName>
    <definedName name="Npri_sec1">'Variable Mgmt'!$R$41</definedName>
    <definedName name="Npri_sec2">'Variable Mgmt'!$R$43</definedName>
    <definedName name="Nps">'Variable Mgmt'!$R$40</definedName>
    <definedName name="Nsec1sec2">'Variable Mgmt'!$R$42</definedName>
    <definedName name="OffTime">Parameters!$D$18</definedName>
    <definedName name="OnTime">Parameters!$D$17</definedName>
    <definedName name="Pi">'Variable Mgmt'!$B$157</definedName>
    <definedName name="PICTURE1">INDIRECT('Schematic Mgmt'!$A$2)</definedName>
    <definedName name="PICTURE2">INDIRECT('Fsw Plots'!$A$2)</definedName>
    <definedName name="PICTURE3">INDIRECT('Efficiency Plots'!$A$2)</definedName>
    <definedName name="Pin">'Variable Mgmt'!$B$34</definedName>
    <definedName name="PLOT_TYPE">'Variable Mgmt'!$M$56</definedName>
    <definedName name="Pout">'Variable Mgmt'!$B$14</definedName>
    <definedName name="Pout_total">'Variable Mgmt'!$B$22</definedName>
    <definedName name="Pout2">'Variable Mgmt'!$B$21</definedName>
    <definedName name="_xlnm.Print_Area" localSheetId="1">'BOM &amp; Schematic'!$A$1:$I$50</definedName>
    <definedName name="_xlnm.Print_Area" localSheetId="0">'Design Converter'!$A$1:$R$48</definedName>
    <definedName name="Qg">Parameters!$D$43</definedName>
    <definedName name="RCinEsr" localSheetId="7">Parameters!$D$31</definedName>
    <definedName name="RCinEsr">'Variable Mgmt'!$B$123</definedName>
    <definedName name="RCoutEsr" localSheetId="7">Parameters!$D$33</definedName>
    <definedName name="RCoutEsr">'Variable Mgmt'!$B$97</definedName>
    <definedName name="Rdcr_pri">'Variable Mgmt'!$B$75</definedName>
    <definedName name="Rdcr_sec">'Variable Mgmt'!$B$76</definedName>
    <definedName name="Rdcr_sec2">'Variable Mgmt'!$B$77</definedName>
    <definedName name="Rdson">Parameters!$D$40</definedName>
    <definedName name="RdsonTC">Parameters!$D$41</definedName>
    <definedName name="Rfb">'Variable Mgmt'!$B$41</definedName>
    <definedName name="Rfb_recommend">'Variable Mgmt'!$B$161</definedName>
    <definedName name="Rfb2_u">'Variable Mgmt'!$B$163</definedName>
    <definedName name="Rout">'Variable Mgmt'!$B$13</definedName>
    <definedName name="Rout2">'Variable Mgmt'!$B$20</definedName>
    <definedName name="Rpg" localSheetId="9">'Variable Mgmt'!#REF!</definedName>
    <definedName name="Rpg">'Variable Mgmt'!#REF!</definedName>
    <definedName name="rr">Parameters!$H$110</definedName>
    <definedName name="RTC">'Variable Mgmt'!$B$167</definedName>
    <definedName name="RTC_1">'Variable Mgmt'!$B$166</definedName>
    <definedName name="Ruvlo1">'Variable Mgmt'!$B$149</definedName>
    <definedName name="Ruvlo2">'Variable Mgmt'!$B$150</definedName>
    <definedName name="SCH_BIPOLAR_UVLOadj_SSadj_TCno">'Schematic Mgmt'!$H$21</definedName>
    <definedName name="SCH_BIPOLAR_UVLOadj_SSadj_TCyes">'Schematic Mgmt'!$H$7</definedName>
    <definedName name="SCH_BIPOLAR_UVLOadj_SSint_TCno">'Schematic Mgmt'!$H$19</definedName>
    <definedName name="SCH_BIPOLAR_UVLOadj_SSint_TCyes">'Schematic Mgmt'!$H$17</definedName>
    <definedName name="SCH_BIPOLAR_UVLOint_SSadj_TCno">'Schematic Mgmt'!$H$15</definedName>
    <definedName name="SCH_BIPOLAR_UVLOint_SSadj_TCyes">'Schematic Mgmt'!$H$9</definedName>
    <definedName name="SCH_BIPOLAR_UVLOint_SSint_TCno">'Schematic Mgmt'!$H$13</definedName>
    <definedName name="SCH_BIPOLAR_UVLOint_SSint_TCyes">'Schematic Mgmt'!$H$11</definedName>
    <definedName name="SCH_DUAL_UVLOadj_SSadj_TCno">'Schematic Mgmt'!$E$21</definedName>
    <definedName name="SCH_DUAL_UVLOadj_SSadj_TCyes">'Schematic Mgmt'!$E$7</definedName>
    <definedName name="SCH_DUAL_UVLOadj_SSint_TCno">'Schematic Mgmt'!$E$19</definedName>
    <definedName name="SCH_DUAL_UVLOadj_SSint_TCyes">'Schematic Mgmt'!$E$17</definedName>
    <definedName name="SCH_DUAL_UVLOint_SSadj_TCno">'Schematic Mgmt'!$E$15</definedName>
    <definedName name="SCH_DUAL_UVLOint_SSadj_TCyes">'Schematic Mgmt'!$E$9</definedName>
    <definedName name="SCH_DUAL_UVLOint_SSint_TCno">'Schematic Mgmt'!$E$13</definedName>
    <definedName name="SCH_DUAL_UVLOint_SSint_TCyes">'Schematic Mgmt'!$E$11</definedName>
    <definedName name="SCH_SINGLE_UVLOadj_SSadj_TCno">'Schematic Mgmt'!$B$21</definedName>
    <definedName name="SCH_SINGLE_UVLOadj_SSadj_TCyes">'Schematic Mgmt'!$B$7</definedName>
    <definedName name="SCH_SINGLE_UVLOadj_SSint_TCno">'Schematic Mgmt'!$B$19</definedName>
    <definedName name="SCH_SINGLE_UVLOadj_SSint_TCyes">'Schematic Mgmt'!$B$17</definedName>
    <definedName name="SCH_SINGLE_UVLOint_SSadj_TCno">'Schematic Mgmt'!$B$15</definedName>
    <definedName name="SCH_SINGLE_UVLOint_SSadj_TCyes">'Schematic Mgmt'!$B$9</definedName>
    <definedName name="SCH_SINGLE_UVLOint_SSint_TCno">'Schematic Mgmt'!$B$13</definedName>
    <definedName name="SCH_SINGLE_UVLOint_SSint_TCyes">'Schematic Mgmt'!$B$11</definedName>
    <definedName name="Ta" localSheetId="7">Parameters!$D$12</definedName>
    <definedName name="Ta">'Variable Mgmt'!$B$174</definedName>
    <definedName name="TC">'Variable Mgmt'!$G$50</definedName>
    <definedName name="Tfall">Parameters!$D$23</definedName>
    <definedName name="ThetaCa">'Variable Mgmt'!$B$177</definedName>
    <definedName name="ThetaJA">Parameters!$D$53</definedName>
    <definedName name="TL">'Variable Mgmt'!$B$85</definedName>
    <definedName name="Toff_Vinmax">'Variable Mgmt'!$B$158</definedName>
    <definedName name="Ton_Vinmin">'Variable Mgmt'!$B$159</definedName>
    <definedName name="Trise">Parameters!$D$22</definedName>
    <definedName name="TrrBot">Parameters!$D$51</definedName>
    <definedName name="Tss">'Variable Mgmt'!$B$132</definedName>
    <definedName name="Turns_Ratio">'Variable Mgmt'!$S$38</definedName>
    <definedName name="Turns_Ratio2">'Variable Mgmt'!$W$38</definedName>
    <definedName name="Vdd">Parameters!$D$13</definedName>
    <definedName name="Vfwd1">Parameters!$D$47</definedName>
    <definedName name="Vfwd2">Parameters!$D$48</definedName>
    <definedName name="Vin">'Design Converter'!$E$7</definedName>
    <definedName name="VIN_max">'Variable Mgmt'!$B$9</definedName>
    <definedName name="VIN_min">'Variable Mgmt'!$B$7</definedName>
    <definedName name="VIN_nom">'Variable Mgmt'!$B$8</definedName>
    <definedName name="Vinripple1">'Variable Mgmt'!$B$115</definedName>
    <definedName name="Vinripple2">'Variable Mgmt'!$B$128</definedName>
    <definedName name="VINuvlo_off">'Variable Mgmt'!$B$147</definedName>
    <definedName name="VINuvlo_on">'Variable Mgmt'!$B$146</definedName>
    <definedName name="Vout">'Variable Mgmt'!$B$11</definedName>
    <definedName name="Vout_ripple">'Variable Mgmt'!$B$30</definedName>
    <definedName name="Vout_ripple2">'Variable Mgmt'!$B$31</definedName>
    <definedName name="Vout2">'Variable Mgmt'!$B$16</definedName>
    <definedName name="Vout2_actual">'Variable Mgmt'!$B$17</definedName>
    <definedName name="Vref">'Variable Mgmt'!$B$40</definedName>
    <definedName name="Vripple1_actual">'Variable Mgmt'!$B$99</definedName>
    <definedName name="Vripple1_spec">'Variable Mgmt'!$B$93</definedName>
    <definedName name="Vripple2_actual">'Variable Mgmt'!$B$109</definedName>
    <definedName name="Vripple2_spec">'Variable Mgmt'!$B$103</definedName>
    <definedName name="VRRM_DIODE">'Variable Mgmt'!$B$28</definedName>
    <definedName name="Vuvlo_hys">'Variable Mgmt'!$B$141</definedName>
    <definedName name="Vuvlo_off">'Variable Mgmt'!$B$140</definedName>
    <definedName name="Vuvlo_on">'Variable Mgmt'!$B$139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3" i="19" l="1"/>
  <c r="D53" i="19" s="1"/>
  <c r="D41" i="19"/>
  <c r="B174" i="2"/>
  <c r="BS1" i="24" l="1"/>
  <c r="B74" i="2" l="1"/>
  <c r="M10" i="1"/>
  <c r="K10" i="1"/>
  <c r="B36" i="19" l="1"/>
  <c r="B18" i="2" l="1"/>
  <c r="B28" i="19"/>
  <c r="D28" i="19" s="1"/>
  <c r="B48" i="19"/>
  <c r="D48" i="19" s="1"/>
  <c r="BL110" i="25" l="1"/>
  <c r="BN110" i="24"/>
  <c r="BQ110" i="24" s="1"/>
  <c r="M1" i="24"/>
  <c r="R41" i="2"/>
  <c r="R40" i="2"/>
  <c r="W41" i="2"/>
  <c r="R38" i="2" l="1"/>
  <c r="R32" i="2"/>
  <c r="R34" i="2"/>
  <c r="K39" i="16" l="1"/>
  <c r="K38" i="16"/>
  <c r="K37" i="16"/>
  <c r="K36" i="16"/>
  <c r="K35" i="16"/>
  <c r="K45" i="16"/>
  <c r="J45" i="16"/>
  <c r="K33" i="16"/>
  <c r="J33" i="16"/>
  <c r="I33" i="16"/>
  <c r="H33" i="16"/>
  <c r="I34" i="16"/>
  <c r="H34" i="16"/>
  <c r="C37" i="16"/>
  <c r="D36" i="16"/>
  <c r="D35" i="16"/>
  <c r="J36" i="16"/>
  <c r="J39" i="16"/>
  <c r="J37" i="16"/>
  <c r="H36" i="16"/>
  <c r="J35" i="16"/>
  <c r="J44" i="16"/>
  <c r="I44" i="16"/>
  <c r="H44" i="16"/>
  <c r="A44" i="16"/>
  <c r="D38" i="16"/>
  <c r="D37" i="16"/>
  <c r="J38" i="16"/>
  <c r="F213" i="2"/>
  <c r="K41" i="16"/>
  <c r="J41" i="16"/>
  <c r="I36" i="16"/>
  <c r="C36" i="16"/>
  <c r="B34" i="16"/>
  <c r="A36" i="16"/>
  <c r="B219" i="2"/>
  <c r="A33" i="16"/>
  <c r="K44" i="16"/>
  <c r="K13" i="1" l="1"/>
  <c r="M13" i="1"/>
  <c r="A2" i="28"/>
  <c r="A2" i="22"/>
  <c r="B17" i="2"/>
  <c r="B16" i="2"/>
  <c r="I5" i="25" l="1"/>
  <c r="B51" i="2"/>
  <c r="D213" i="2" s="1"/>
  <c r="B19" i="2"/>
  <c r="BP6" i="19"/>
  <c r="BQ6" i="19"/>
  <c r="BU6" i="19"/>
  <c r="CA6" i="19" s="1"/>
  <c r="BV6" i="19"/>
  <c r="CB6" i="19" s="1"/>
  <c r="BW6" i="19"/>
  <c r="CC6" i="19"/>
  <c r="BP7" i="19"/>
  <c r="BQ7" i="19"/>
  <c r="BU7" i="19"/>
  <c r="CA7" i="19" s="1"/>
  <c r="BV7" i="19"/>
  <c r="CB7" i="19" s="1"/>
  <c r="BW7" i="19"/>
  <c r="CC7" i="19"/>
  <c r="BP8" i="19"/>
  <c r="BQ8" i="19"/>
  <c r="BU8" i="19"/>
  <c r="CA8" i="19" s="1"/>
  <c r="BV8" i="19"/>
  <c r="CB8" i="19" s="1"/>
  <c r="BW8" i="19"/>
  <c r="CC8" i="19"/>
  <c r="BP9" i="19"/>
  <c r="BQ9" i="19"/>
  <c r="BU9" i="19"/>
  <c r="CA9" i="19" s="1"/>
  <c r="BV9" i="19"/>
  <c r="CB9" i="19" s="1"/>
  <c r="BW9" i="19"/>
  <c r="CC9" i="19"/>
  <c r="D24" i="2"/>
  <c r="A24" i="2"/>
  <c r="AL216" i="25"/>
  <c r="AL110" i="25"/>
  <c r="J105" i="25"/>
  <c r="J104" i="25"/>
  <c r="J103" i="25"/>
  <c r="J102" i="25"/>
  <c r="J101" i="25"/>
  <c r="J100" i="25"/>
  <c r="J99" i="25"/>
  <c r="J98" i="25"/>
  <c r="J97" i="25"/>
  <c r="J96" i="25"/>
  <c r="J95" i="25"/>
  <c r="J94" i="25"/>
  <c r="J93" i="25"/>
  <c r="J92" i="25"/>
  <c r="J91" i="25"/>
  <c r="J90" i="25"/>
  <c r="J89" i="25"/>
  <c r="J88" i="25"/>
  <c r="J87" i="25"/>
  <c r="J86" i="25"/>
  <c r="J85" i="25"/>
  <c r="J84" i="25"/>
  <c r="J83" i="25"/>
  <c r="J82" i="25"/>
  <c r="J81" i="25"/>
  <c r="J80" i="25"/>
  <c r="J79" i="25"/>
  <c r="J78" i="25"/>
  <c r="J77" i="25"/>
  <c r="J76" i="25"/>
  <c r="J75" i="25"/>
  <c r="J74" i="25"/>
  <c r="J73" i="25"/>
  <c r="J72" i="25"/>
  <c r="J71" i="25"/>
  <c r="J70" i="25"/>
  <c r="J69" i="25"/>
  <c r="J68" i="25"/>
  <c r="J67" i="25"/>
  <c r="J66" i="25"/>
  <c r="J65" i="25"/>
  <c r="J64" i="25"/>
  <c r="J63" i="25"/>
  <c r="J62" i="25"/>
  <c r="J61" i="25"/>
  <c r="J60" i="25"/>
  <c r="J59" i="25"/>
  <c r="J58" i="25"/>
  <c r="J57" i="25"/>
  <c r="J56" i="25"/>
  <c r="J55" i="25"/>
  <c r="J54" i="25"/>
  <c r="J53" i="25"/>
  <c r="J52" i="25"/>
  <c r="J51" i="25"/>
  <c r="J50" i="25"/>
  <c r="J49" i="25"/>
  <c r="J48" i="25"/>
  <c r="J47" i="25"/>
  <c r="J46" i="25"/>
  <c r="J45" i="25"/>
  <c r="J44" i="25"/>
  <c r="J43" i="25"/>
  <c r="J42" i="25"/>
  <c r="J41" i="25"/>
  <c r="J40" i="25"/>
  <c r="J39" i="25"/>
  <c r="J38" i="25"/>
  <c r="J37" i="25"/>
  <c r="J36" i="25"/>
  <c r="J35" i="25"/>
  <c r="J34" i="25"/>
  <c r="J33" i="25"/>
  <c r="J32" i="25"/>
  <c r="J31" i="25"/>
  <c r="J30" i="25"/>
  <c r="J29" i="25"/>
  <c r="J28" i="25"/>
  <c r="J27" i="25"/>
  <c r="J26" i="25"/>
  <c r="J25" i="25"/>
  <c r="J24" i="25"/>
  <c r="J23" i="25"/>
  <c r="J22" i="25"/>
  <c r="J21" i="25"/>
  <c r="J20" i="25"/>
  <c r="J19" i="25"/>
  <c r="J18" i="25"/>
  <c r="J17" i="25"/>
  <c r="J16" i="25"/>
  <c r="J15" i="25"/>
  <c r="J14" i="25"/>
  <c r="J13" i="25"/>
  <c r="J12" i="25"/>
  <c r="J11" i="25"/>
  <c r="J10" i="25"/>
  <c r="J9" i="25"/>
  <c r="J8" i="25"/>
  <c r="J7" i="25"/>
  <c r="J6" i="25"/>
  <c r="AL5" i="25"/>
  <c r="J5" i="25"/>
  <c r="K12" i="1"/>
  <c r="V38" i="2"/>
  <c r="V36" i="2"/>
  <c r="K9" i="1"/>
  <c r="V28" i="2"/>
  <c r="V29" i="2"/>
  <c r="V35" i="2"/>
  <c r="V34" i="2"/>
  <c r="V33" i="2"/>
  <c r="V32" i="2"/>
  <c r="V31" i="2"/>
  <c r="V30" i="2"/>
  <c r="B265" i="2" l="1"/>
  <c r="R37" i="2"/>
  <c r="R36" i="2"/>
  <c r="R35" i="2"/>
  <c r="R33" i="2"/>
  <c r="R31" i="2"/>
  <c r="R30" i="2"/>
  <c r="R29" i="2"/>
  <c r="R28" i="2"/>
  <c r="B107" i="2" l="1"/>
  <c r="B105" i="2"/>
  <c r="C33" i="16" s="1"/>
  <c r="B77" i="2"/>
  <c r="B82" i="2" s="1"/>
  <c r="K23" i="1" l="1"/>
  <c r="K20" i="1"/>
  <c r="D10" i="1"/>
  <c r="D11" i="1"/>
  <c r="D35" i="1"/>
  <c r="D13" i="1"/>
  <c r="D12" i="1"/>
  <c r="D23" i="1"/>
  <c r="D20" i="1"/>
  <c r="D36" i="1"/>
  <c r="B165" i="2" l="1"/>
  <c r="BM5" i="25" l="1"/>
  <c r="BL5" i="25"/>
  <c r="BN5" i="24"/>
  <c r="I56" i="2"/>
  <c r="B263" i="2"/>
  <c r="F13" i="1"/>
  <c r="B12" i="2"/>
  <c r="CB110" i="25" l="1"/>
  <c r="B248" i="2"/>
  <c r="G111" i="25"/>
  <c r="G115" i="25"/>
  <c r="G119" i="25"/>
  <c r="G123" i="25"/>
  <c r="G127" i="25"/>
  <c r="G131" i="25"/>
  <c r="G135" i="25"/>
  <c r="G139" i="25"/>
  <c r="G143" i="25"/>
  <c r="G147" i="25"/>
  <c r="G151" i="25"/>
  <c r="G155" i="25"/>
  <c r="G159" i="25"/>
  <c r="G163" i="25"/>
  <c r="G167" i="25"/>
  <c r="G171" i="25"/>
  <c r="G175" i="25"/>
  <c r="G179" i="25"/>
  <c r="G183" i="25"/>
  <c r="G187" i="25"/>
  <c r="G191" i="25"/>
  <c r="G195" i="25"/>
  <c r="G199" i="25"/>
  <c r="G203" i="25"/>
  <c r="G207" i="25"/>
  <c r="G216" i="25"/>
  <c r="G220" i="25"/>
  <c r="I220" i="25" s="1"/>
  <c r="G224" i="25"/>
  <c r="I224" i="25" s="1"/>
  <c r="G228" i="25"/>
  <c r="I228" i="25" s="1"/>
  <c r="G232" i="25"/>
  <c r="I232" i="25" s="1"/>
  <c r="G236" i="25"/>
  <c r="I236" i="25" s="1"/>
  <c r="G240" i="25"/>
  <c r="I240" i="25" s="1"/>
  <c r="G244" i="25"/>
  <c r="I244" i="25" s="1"/>
  <c r="G248" i="25"/>
  <c r="I248" i="25" s="1"/>
  <c r="G252" i="25"/>
  <c r="I252" i="25" s="1"/>
  <c r="G256" i="25"/>
  <c r="I256" i="25" s="1"/>
  <c r="G260" i="25"/>
  <c r="I260" i="25" s="1"/>
  <c r="G264" i="25"/>
  <c r="I264" i="25" s="1"/>
  <c r="G268" i="25"/>
  <c r="I268" i="25" s="1"/>
  <c r="G272" i="25"/>
  <c r="I272" i="25" s="1"/>
  <c r="G276" i="25"/>
  <c r="I276" i="25" s="1"/>
  <c r="G280" i="25"/>
  <c r="I280" i="25" s="1"/>
  <c r="G284" i="25"/>
  <c r="I284" i="25" s="1"/>
  <c r="G288" i="25"/>
  <c r="I288" i="25" s="1"/>
  <c r="G292" i="25"/>
  <c r="I292" i="25" s="1"/>
  <c r="G296" i="25"/>
  <c r="I296" i="25" s="1"/>
  <c r="G300" i="25"/>
  <c r="I300" i="25" s="1"/>
  <c r="G304" i="25"/>
  <c r="I304" i="25" s="1"/>
  <c r="G308" i="25"/>
  <c r="I308" i="25" s="1"/>
  <c r="G312" i="25"/>
  <c r="I312" i="25" s="1"/>
  <c r="G316" i="25"/>
  <c r="I316" i="25" s="1"/>
  <c r="G8" i="25"/>
  <c r="BM8" i="25" s="1"/>
  <c r="G12" i="25"/>
  <c r="BM12" i="25" s="1"/>
  <c r="G16" i="25"/>
  <c r="BM16" i="25" s="1"/>
  <c r="G20" i="25"/>
  <c r="BM20" i="25" s="1"/>
  <c r="G24" i="25"/>
  <c r="BM24" i="25" s="1"/>
  <c r="G28" i="25"/>
  <c r="BM28" i="25" s="1"/>
  <c r="G32" i="25"/>
  <c r="BM32" i="25" s="1"/>
  <c r="G36" i="25"/>
  <c r="BM36" i="25" s="1"/>
  <c r="G40" i="25"/>
  <c r="BM40" i="25" s="1"/>
  <c r="G44" i="25"/>
  <c r="BM44" i="25" s="1"/>
  <c r="G48" i="25"/>
  <c r="BM48" i="25" s="1"/>
  <c r="G52" i="25"/>
  <c r="BM52" i="25" s="1"/>
  <c r="G56" i="25"/>
  <c r="BM56" i="25" s="1"/>
  <c r="G60" i="25"/>
  <c r="BM60" i="25" s="1"/>
  <c r="G64" i="25"/>
  <c r="BM64" i="25" s="1"/>
  <c r="G68" i="25"/>
  <c r="BM68" i="25" s="1"/>
  <c r="G72" i="25"/>
  <c r="BM72" i="25" s="1"/>
  <c r="G76" i="25"/>
  <c r="BM76" i="25" s="1"/>
  <c r="G80" i="25"/>
  <c r="BM80" i="25" s="1"/>
  <c r="G84" i="25"/>
  <c r="BM84" i="25" s="1"/>
  <c r="G88" i="25"/>
  <c r="BM88" i="25" s="1"/>
  <c r="G92" i="25"/>
  <c r="BM92" i="25" s="1"/>
  <c r="G96" i="25"/>
  <c r="BM96" i="25" s="1"/>
  <c r="G100" i="25"/>
  <c r="BM100" i="25" s="1"/>
  <c r="G104" i="25"/>
  <c r="BM104" i="25" s="1"/>
  <c r="G118" i="25"/>
  <c r="G150" i="25"/>
  <c r="G162" i="25"/>
  <c r="G174" i="25"/>
  <c r="G112" i="25"/>
  <c r="G116" i="25"/>
  <c r="G120" i="25"/>
  <c r="G124" i="25"/>
  <c r="G128" i="25"/>
  <c r="G132" i="25"/>
  <c r="G136" i="25"/>
  <c r="G140" i="25"/>
  <c r="G144" i="25"/>
  <c r="G148" i="25"/>
  <c r="G152" i="25"/>
  <c r="G156" i="25"/>
  <c r="G160" i="25"/>
  <c r="G164" i="25"/>
  <c r="G168" i="25"/>
  <c r="G172" i="25"/>
  <c r="G176" i="25"/>
  <c r="G180" i="25"/>
  <c r="G184" i="25"/>
  <c r="G188" i="25"/>
  <c r="G192" i="25"/>
  <c r="G196" i="25"/>
  <c r="G200" i="25"/>
  <c r="G204" i="25"/>
  <c r="G208" i="25"/>
  <c r="G217" i="25"/>
  <c r="I217" i="25" s="1"/>
  <c r="G221" i="25"/>
  <c r="I221" i="25" s="1"/>
  <c r="G225" i="25"/>
  <c r="I225" i="25" s="1"/>
  <c r="G229" i="25"/>
  <c r="I229" i="25" s="1"/>
  <c r="G233" i="25"/>
  <c r="I233" i="25" s="1"/>
  <c r="G237" i="25"/>
  <c r="I237" i="25" s="1"/>
  <c r="G241" i="25"/>
  <c r="I241" i="25" s="1"/>
  <c r="G245" i="25"/>
  <c r="I245" i="25" s="1"/>
  <c r="G249" i="25"/>
  <c r="I249" i="25" s="1"/>
  <c r="G253" i="25"/>
  <c r="I253" i="25" s="1"/>
  <c r="G257" i="25"/>
  <c r="I257" i="25" s="1"/>
  <c r="G261" i="25"/>
  <c r="I261" i="25" s="1"/>
  <c r="G265" i="25"/>
  <c r="I265" i="25" s="1"/>
  <c r="G269" i="25"/>
  <c r="I269" i="25" s="1"/>
  <c r="G273" i="25"/>
  <c r="I273" i="25" s="1"/>
  <c r="G277" i="25"/>
  <c r="I277" i="25" s="1"/>
  <c r="G281" i="25"/>
  <c r="I281" i="25" s="1"/>
  <c r="G285" i="25"/>
  <c r="I285" i="25" s="1"/>
  <c r="G289" i="25"/>
  <c r="I289" i="25" s="1"/>
  <c r="G293" i="25"/>
  <c r="I293" i="25" s="1"/>
  <c r="G297" i="25"/>
  <c r="I297" i="25" s="1"/>
  <c r="G301" i="25"/>
  <c r="I301" i="25" s="1"/>
  <c r="G305" i="25"/>
  <c r="I305" i="25" s="1"/>
  <c r="G309" i="25"/>
  <c r="I309" i="25" s="1"/>
  <c r="G313" i="25"/>
  <c r="I313" i="25" s="1"/>
  <c r="G9" i="25"/>
  <c r="BM9" i="25" s="1"/>
  <c r="G13" i="25"/>
  <c r="BM13" i="25" s="1"/>
  <c r="G17" i="25"/>
  <c r="BM17" i="25" s="1"/>
  <c r="G21" i="25"/>
  <c r="BM21" i="25" s="1"/>
  <c r="G25" i="25"/>
  <c r="BM25" i="25" s="1"/>
  <c r="G29" i="25"/>
  <c r="BM29" i="25" s="1"/>
  <c r="G33" i="25"/>
  <c r="BM33" i="25" s="1"/>
  <c r="G37" i="25"/>
  <c r="BM37" i="25" s="1"/>
  <c r="G41" i="25"/>
  <c r="BM41" i="25" s="1"/>
  <c r="G45" i="25"/>
  <c r="BM45" i="25" s="1"/>
  <c r="G49" i="25"/>
  <c r="BM49" i="25" s="1"/>
  <c r="G53" i="25"/>
  <c r="BM53" i="25" s="1"/>
  <c r="G57" i="25"/>
  <c r="BM57" i="25" s="1"/>
  <c r="G61" i="25"/>
  <c r="BM61" i="25" s="1"/>
  <c r="G65" i="25"/>
  <c r="BM65" i="25" s="1"/>
  <c r="G69" i="25"/>
  <c r="BM69" i="25" s="1"/>
  <c r="G73" i="25"/>
  <c r="BM73" i="25" s="1"/>
  <c r="G77" i="25"/>
  <c r="BM77" i="25" s="1"/>
  <c r="G81" i="25"/>
  <c r="BM81" i="25" s="1"/>
  <c r="G85" i="25"/>
  <c r="BM85" i="25" s="1"/>
  <c r="G89" i="25"/>
  <c r="BM89" i="25" s="1"/>
  <c r="G93" i="25"/>
  <c r="BM93" i="25" s="1"/>
  <c r="G97" i="25"/>
  <c r="BM97" i="25" s="1"/>
  <c r="G101" i="25"/>
  <c r="BM101" i="25" s="1"/>
  <c r="G105" i="25"/>
  <c r="BM105" i="25" s="1"/>
  <c r="G122" i="25"/>
  <c r="G154" i="25"/>
  <c r="G170" i="25"/>
  <c r="G113" i="25"/>
  <c r="G117" i="25"/>
  <c r="G121" i="25"/>
  <c r="G125" i="25"/>
  <c r="G129" i="25"/>
  <c r="G133" i="25"/>
  <c r="G137" i="25"/>
  <c r="G141" i="25"/>
  <c r="G145" i="25"/>
  <c r="G149" i="25"/>
  <c r="G153" i="25"/>
  <c r="G157" i="25"/>
  <c r="G161" i="25"/>
  <c r="G165" i="25"/>
  <c r="G169" i="25"/>
  <c r="G173" i="25"/>
  <c r="G177" i="25"/>
  <c r="G181" i="25"/>
  <c r="G185" i="25"/>
  <c r="G189" i="25"/>
  <c r="G193" i="25"/>
  <c r="G197" i="25"/>
  <c r="G201" i="25"/>
  <c r="G205" i="25"/>
  <c r="G209" i="25"/>
  <c r="G218" i="25"/>
  <c r="I218" i="25" s="1"/>
  <c r="G222" i="25"/>
  <c r="I222" i="25" s="1"/>
  <c r="G226" i="25"/>
  <c r="I226" i="25" s="1"/>
  <c r="G230" i="25"/>
  <c r="I230" i="25" s="1"/>
  <c r="G234" i="25"/>
  <c r="I234" i="25" s="1"/>
  <c r="G238" i="25"/>
  <c r="I238" i="25" s="1"/>
  <c r="G242" i="25"/>
  <c r="I242" i="25" s="1"/>
  <c r="G246" i="25"/>
  <c r="I246" i="25" s="1"/>
  <c r="G250" i="25"/>
  <c r="I250" i="25" s="1"/>
  <c r="G254" i="25"/>
  <c r="I254" i="25" s="1"/>
  <c r="G258" i="25"/>
  <c r="I258" i="25" s="1"/>
  <c r="G262" i="25"/>
  <c r="I262" i="25" s="1"/>
  <c r="G266" i="25"/>
  <c r="I266" i="25" s="1"/>
  <c r="G270" i="25"/>
  <c r="I270" i="25" s="1"/>
  <c r="G274" i="25"/>
  <c r="I274" i="25" s="1"/>
  <c r="G278" i="25"/>
  <c r="I278" i="25" s="1"/>
  <c r="G282" i="25"/>
  <c r="I282" i="25" s="1"/>
  <c r="G286" i="25"/>
  <c r="I286" i="25" s="1"/>
  <c r="G290" i="25"/>
  <c r="I290" i="25" s="1"/>
  <c r="G294" i="25"/>
  <c r="I294" i="25" s="1"/>
  <c r="G298" i="25"/>
  <c r="I298" i="25" s="1"/>
  <c r="G302" i="25"/>
  <c r="I302" i="25" s="1"/>
  <c r="G306" i="25"/>
  <c r="I306" i="25" s="1"/>
  <c r="G310" i="25"/>
  <c r="I310" i="25" s="1"/>
  <c r="G314" i="25"/>
  <c r="I314" i="25" s="1"/>
  <c r="G10" i="25"/>
  <c r="BM10" i="25" s="1"/>
  <c r="G14" i="25"/>
  <c r="BM14" i="25" s="1"/>
  <c r="G18" i="25"/>
  <c r="BM18" i="25" s="1"/>
  <c r="G22" i="25"/>
  <c r="BM22" i="25" s="1"/>
  <c r="G26" i="25"/>
  <c r="BM26" i="25" s="1"/>
  <c r="G30" i="25"/>
  <c r="BM30" i="25" s="1"/>
  <c r="G34" i="25"/>
  <c r="BM34" i="25" s="1"/>
  <c r="G38" i="25"/>
  <c r="BM38" i="25" s="1"/>
  <c r="G42" i="25"/>
  <c r="BM42" i="25" s="1"/>
  <c r="G46" i="25"/>
  <c r="BM46" i="25" s="1"/>
  <c r="G50" i="25"/>
  <c r="BM50" i="25" s="1"/>
  <c r="G54" i="25"/>
  <c r="BM54" i="25" s="1"/>
  <c r="G58" i="25"/>
  <c r="BM58" i="25" s="1"/>
  <c r="G62" i="25"/>
  <c r="BM62" i="25" s="1"/>
  <c r="G66" i="25"/>
  <c r="BM66" i="25" s="1"/>
  <c r="G70" i="25"/>
  <c r="BM70" i="25" s="1"/>
  <c r="G74" i="25"/>
  <c r="BM74" i="25" s="1"/>
  <c r="G78" i="25"/>
  <c r="BM78" i="25" s="1"/>
  <c r="G82" i="25"/>
  <c r="BM82" i="25" s="1"/>
  <c r="G86" i="25"/>
  <c r="BM86" i="25" s="1"/>
  <c r="G90" i="25"/>
  <c r="BM90" i="25" s="1"/>
  <c r="G94" i="25"/>
  <c r="BM94" i="25" s="1"/>
  <c r="G98" i="25"/>
  <c r="BM98" i="25" s="1"/>
  <c r="G102" i="25"/>
  <c r="BM102" i="25" s="1"/>
  <c r="G7" i="25"/>
  <c r="BM7" i="25" s="1"/>
  <c r="G110" i="25"/>
  <c r="G114" i="25"/>
  <c r="G126" i="25"/>
  <c r="G130" i="25"/>
  <c r="G134" i="25"/>
  <c r="G138" i="25"/>
  <c r="G142" i="25"/>
  <c r="G146" i="25"/>
  <c r="G158" i="25"/>
  <c r="G166" i="25"/>
  <c r="G182" i="25"/>
  <c r="G198" i="25"/>
  <c r="G219" i="25"/>
  <c r="I219" i="25" s="1"/>
  <c r="G235" i="25"/>
  <c r="I235" i="25" s="1"/>
  <c r="G251" i="25"/>
  <c r="I251" i="25" s="1"/>
  <c r="G267" i="25"/>
  <c r="I267" i="25" s="1"/>
  <c r="G283" i="25"/>
  <c r="I283" i="25" s="1"/>
  <c r="G299" i="25"/>
  <c r="I299" i="25" s="1"/>
  <c r="G315" i="25"/>
  <c r="I315" i="25" s="1"/>
  <c r="G11" i="25"/>
  <c r="BM11" i="25" s="1"/>
  <c r="G27" i="25"/>
  <c r="BM27" i="25" s="1"/>
  <c r="G43" i="25"/>
  <c r="BM43" i="25" s="1"/>
  <c r="G59" i="25"/>
  <c r="BM59" i="25" s="1"/>
  <c r="G75" i="25"/>
  <c r="BM75" i="25" s="1"/>
  <c r="G91" i="25"/>
  <c r="BM91" i="25" s="1"/>
  <c r="G6" i="25"/>
  <c r="BM6" i="25" s="1"/>
  <c r="G186" i="25"/>
  <c r="G255" i="25"/>
  <c r="I255" i="25" s="1"/>
  <c r="G303" i="25"/>
  <c r="I303" i="25" s="1"/>
  <c r="G47" i="25"/>
  <c r="BM47" i="25" s="1"/>
  <c r="G95" i="25"/>
  <c r="BM95" i="25" s="1"/>
  <c r="G190" i="25"/>
  <c r="G206" i="25"/>
  <c r="G227" i="25"/>
  <c r="I227" i="25" s="1"/>
  <c r="G243" i="25"/>
  <c r="I243" i="25" s="1"/>
  <c r="G259" i="25"/>
  <c r="I259" i="25" s="1"/>
  <c r="G275" i="25"/>
  <c r="I275" i="25" s="1"/>
  <c r="G291" i="25"/>
  <c r="I291" i="25" s="1"/>
  <c r="G307" i="25"/>
  <c r="I307" i="25" s="1"/>
  <c r="G19" i="25"/>
  <c r="BM19" i="25" s="1"/>
  <c r="G35" i="25"/>
  <c r="BM35" i="25" s="1"/>
  <c r="G51" i="25"/>
  <c r="BM51" i="25" s="1"/>
  <c r="G67" i="25"/>
  <c r="BM67" i="25" s="1"/>
  <c r="G83" i="25"/>
  <c r="BM83" i="25" s="1"/>
  <c r="G99" i="25"/>
  <c r="BM99" i="25" s="1"/>
  <c r="G87" i="25"/>
  <c r="BM87" i="25" s="1"/>
  <c r="G223" i="25"/>
  <c r="I223" i="25" s="1"/>
  <c r="G239" i="25"/>
  <c r="I239" i="25" s="1"/>
  <c r="G287" i="25"/>
  <c r="I287" i="25" s="1"/>
  <c r="G15" i="25"/>
  <c r="BM15" i="25" s="1"/>
  <c r="G63" i="25"/>
  <c r="BM63" i="25" s="1"/>
  <c r="G178" i="25"/>
  <c r="G194" i="25"/>
  <c r="G210" i="25"/>
  <c r="G231" i="25"/>
  <c r="I231" i="25" s="1"/>
  <c r="G247" i="25"/>
  <c r="I247" i="25" s="1"/>
  <c r="G263" i="25"/>
  <c r="I263" i="25" s="1"/>
  <c r="G279" i="25"/>
  <c r="I279" i="25" s="1"/>
  <c r="G295" i="25"/>
  <c r="I295" i="25" s="1"/>
  <c r="G311" i="25"/>
  <c r="I311" i="25" s="1"/>
  <c r="G23" i="25"/>
  <c r="BM23" i="25" s="1"/>
  <c r="G39" i="25"/>
  <c r="BM39" i="25" s="1"/>
  <c r="G55" i="25"/>
  <c r="BM55" i="25" s="1"/>
  <c r="G71" i="25"/>
  <c r="BM71" i="25" s="1"/>
  <c r="G103" i="25"/>
  <c r="BM103" i="25" s="1"/>
  <c r="G202" i="25"/>
  <c r="G271" i="25"/>
  <c r="I271" i="25" s="1"/>
  <c r="G31" i="25"/>
  <c r="BM31" i="25" s="1"/>
  <c r="G79" i="25"/>
  <c r="BM79" i="25" s="1"/>
  <c r="F7" i="25"/>
  <c r="BL7" i="25" s="1"/>
  <c r="F6" i="25"/>
  <c r="BL6" i="25" s="1"/>
  <c r="I158" i="25" l="1"/>
  <c r="BM158" i="25"/>
  <c r="BM110" i="25"/>
  <c r="BP110" i="25" s="1"/>
  <c r="I189" i="25"/>
  <c r="BM189" i="25"/>
  <c r="I157" i="25"/>
  <c r="BM157" i="25"/>
  <c r="I125" i="25"/>
  <c r="BM125" i="25"/>
  <c r="I170" i="25"/>
  <c r="BM170" i="25"/>
  <c r="I180" i="25"/>
  <c r="BM180" i="25"/>
  <c r="I148" i="25"/>
  <c r="BM148" i="25"/>
  <c r="I116" i="25"/>
  <c r="BM116" i="25"/>
  <c r="I150" i="25"/>
  <c r="BM150" i="25"/>
  <c r="I195" i="25"/>
  <c r="BM195" i="25"/>
  <c r="I163" i="25"/>
  <c r="BM163" i="25"/>
  <c r="I131" i="25"/>
  <c r="BM131" i="25"/>
  <c r="I190" i="25"/>
  <c r="BM190" i="25"/>
  <c r="I198" i="25"/>
  <c r="BM198" i="25"/>
  <c r="I146" i="25"/>
  <c r="BM146" i="25"/>
  <c r="I130" i="25"/>
  <c r="BM130" i="25"/>
  <c r="I201" i="25"/>
  <c r="BM201" i="25"/>
  <c r="I169" i="25"/>
  <c r="BM169" i="25"/>
  <c r="I137" i="25"/>
  <c r="BM137" i="25"/>
  <c r="I154" i="25"/>
  <c r="BM154" i="25"/>
  <c r="I192" i="25"/>
  <c r="BM192" i="25"/>
  <c r="I160" i="25"/>
  <c r="BM160" i="25"/>
  <c r="I128" i="25"/>
  <c r="BM128" i="25"/>
  <c r="I207" i="25"/>
  <c r="BM207" i="25"/>
  <c r="I175" i="25"/>
  <c r="BM175" i="25"/>
  <c r="I143" i="25"/>
  <c r="BM143" i="25"/>
  <c r="I111" i="25"/>
  <c r="BM111" i="25"/>
  <c r="I202" i="25"/>
  <c r="BM202" i="25"/>
  <c r="I210" i="25"/>
  <c r="BM210" i="25"/>
  <c r="I166" i="25"/>
  <c r="BM166" i="25"/>
  <c r="I138" i="25"/>
  <c r="BM138" i="25"/>
  <c r="I114" i="25"/>
  <c r="BM114" i="25"/>
  <c r="I209" i="25"/>
  <c r="BM209" i="25"/>
  <c r="I193" i="25"/>
  <c r="BM193" i="25"/>
  <c r="I177" i="25"/>
  <c r="BM177" i="25"/>
  <c r="I161" i="25"/>
  <c r="BM161" i="25"/>
  <c r="I145" i="25"/>
  <c r="BM145" i="25"/>
  <c r="I129" i="25"/>
  <c r="BM129" i="25"/>
  <c r="I113" i="25"/>
  <c r="BM113" i="25"/>
  <c r="I200" i="25"/>
  <c r="BM200" i="25"/>
  <c r="I184" i="25"/>
  <c r="BM184" i="25"/>
  <c r="I168" i="25"/>
  <c r="BM168" i="25"/>
  <c r="I152" i="25"/>
  <c r="BM152" i="25"/>
  <c r="I136" i="25"/>
  <c r="BM136" i="25"/>
  <c r="I120" i="25"/>
  <c r="BM120" i="25"/>
  <c r="I162" i="25"/>
  <c r="BM162" i="25"/>
  <c r="I199" i="25"/>
  <c r="BM199" i="25"/>
  <c r="I183" i="25"/>
  <c r="BM183" i="25"/>
  <c r="I167" i="25"/>
  <c r="BM167" i="25"/>
  <c r="I151" i="25"/>
  <c r="BM151" i="25"/>
  <c r="I135" i="25"/>
  <c r="BM135" i="25"/>
  <c r="I119" i="25"/>
  <c r="BM119" i="25"/>
  <c r="I194" i="25"/>
  <c r="BM194" i="25"/>
  <c r="I206" i="25"/>
  <c r="BM206" i="25"/>
  <c r="I134" i="25"/>
  <c r="BM134" i="25"/>
  <c r="I205" i="25"/>
  <c r="BM205" i="25"/>
  <c r="I173" i="25"/>
  <c r="BM173" i="25"/>
  <c r="I141" i="25"/>
  <c r="BM141" i="25"/>
  <c r="I196" i="25"/>
  <c r="BM196" i="25"/>
  <c r="I164" i="25"/>
  <c r="BM164" i="25"/>
  <c r="I132" i="25"/>
  <c r="BM132" i="25"/>
  <c r="I179" i="25"/>
  <c r="BM179" i="25"/>
  <c r="I147" i="25"/>
  <c r="BM147" i="25"/>
  <c r="I115" i="25"/>
  <c r="BM115" i="25"/>
  <c r="I178" i="25"/>
  <c r="BM178" i="25"/>
  <c r="I185" i="25"/>
  <c r="BM185" i="25"/>
  <c r="I153" i="25"/>
  <c r="BM153" i="25"/>
  <c r="I121" i="25"/>
  <c r="BM121" i="25"/>
  <c r="I208" i="25"/>
  <c r="BM208" i="25"/>
  <c r="I176" i="25"/>
  <c r="BM176" i="25"/>
  <c r="I144" i="25"/>
  <c r="BM144" i="25"/>
  <c r="I112" i="25"/>
  <c r="BM112" i="25"/>
  <c r="I118" i="25"/>
  <c r="BM118" i="25"/>
  <c r="I191" i="25"/>
  <c r="BM191" i="25"/>
  <c r="I159" i="25"/>
  <c r="BM159" i="25"/>
  <c r="I127" i="25"/>
  <c r="BM127" i="25"/>
  <c r="I186" i="25"/>
  <c r="BM186" i="25"/>
  <c r="I182" i="25"/>
  <c r="BM182" i="25"/>
  <c r="I142" i="25"/>
  <c r="BM142" i="25"/>
  <c r="I126" i="25"/>
  <c r="BM126" i="25"/>
  <c r="I197" i="25"/>
  <c r="BM197" i="25"/>
  <c r="I181" i="25"/>
  <c r="BM181" i="25"/>
  <c r="I165" i="25"/>
  <c r="BM165" i="25"/>
  <c r="I149" i="25"/>
  <c r="BM149" i="25"/>
  <c r="I133" i="25"/>
  <c r="BM133" i="25"/>
  <c r="I117" i="25"/>
  <c r="BM117" i="25"/>
  <c r="I122" i="25"/>
  <c r="BM122" i="25"/>
  <c r="I204" i="25"/>
  <c r="BM204" i="25"/>
  <c r="I188" i="25"/>
  <c r="BM188" i="25"/>
  <c r="I172" i="25"/>
  <c r="BM172" i="25"/>
  <c r="I156" i="25"/>
  <c r="BM156" i="25"/>
  <c r="I140" i="25"/>
  <c r="BM140" i="25"/>
  <c r="I124" i="25"/>
  <c r="BM124" i="25"/>
  <c r="I174" i="25"/>
  <c r="BM174" i="25"/>
  <c r="I203" i="25"/>
  <c r="BM203" i="25"/>
  <c r="I187" i="25"/>
  <c r="BM187" i="25"/>
  <c r="I171" i="25"/>
  <c r="BM171" i="25"/>
  <c r="I155" i="25"/>
  <c r="BM155" i="25"/>
  <c r="I139" i="25"/>
  <c r="BM139" i="25"/>
  <c r="I123" i="25"/>
  <c r="BM123" i="25"/>
  <c r="CB6" i="25"/>
  <c r="CB7" i="25"/>
  <c r="I6" i="25"/>
  <c r="I7" i="25"/>
  <c r="I67" i="25"/>
  <c r="I86" i="25"/>
  <c r="I54" i="25"/>
  <c r="I22" i="25"/>
  <c r="I93" i="25"/>
  <c r="I61" i="25"/>
  <c r="I29" i="25"/>
  <c r="I104" i="25"/>
  <c r="I88" i="25"/>
  <c r="I72" i="25"/>
  <c r="I56" i="25"/>
  <c r="I40" i="25"/>
  <c r="I24" i="25"/>
  <c r="I8" i="25"/>
  <c r="I39" i="25"/>
  <c r="I15" i="25"/>
  <c r="I87" i="25"/>
  <c r="I51" i="25"/>
  <c r="I47" i="25"/>
  <c r="I43" i="25"/>
  <c r="I98" i="25"/>
  <c r="I82" i="25"/>
  <c r="I66" i="25"/>
  <c r="I50" i="25"/>
  <c r="I34" i="25"/>
  <c r="I18" i="25"/>
  <c r="I105" i="25"/>
  <c r="I89" i="25"/>
  <c r="I73" i="25"/>
  <c r="I57" i="25"/>
  <c r="I41" i="25"/>
  <c r="I25" i="25"/>
  <c r="I9" i="25"/>
  <c r="I100" i="25"/>
  <c r="I84" i="25"/>
  <c r="I68" i="25"/>
  <c r="I52" i="25"/>
  <c r="I36" i="25"/>
  <c r="I20" i="25"/>
  <c r="I59" i="25"/>
  <c r="I102" i="25"/>
  <c r="I38" i="25"/>
  <c r="I77" i="25"/>
  <c r="I13" i="25"/>
  <c r="I79" i="25"/>
  <c r="I23" i="25"/>
  <c r="I99" i="25"/>
  <c r="I91" i="25"/>
  <c r="I27" i="25"/>
  <c r="I94" i="25"/>
  <c r="I78" i="25"/>
  <c r="I62" i="25"/>
  <c r="I46" i="25"/>
  <c r="I30" i="25"/>
  <c r="I14" i="25"/>
  <c r="I101" i="25"/>
  <c r="I85" i="25"/>
  <c r="I69" i="25"/>
  <c r="I53" i="25"/>
  <c r="I37" i="25"/>
  <c r="I21" i="25"/>
  <c r="I96" i="25"/>
  <c r="I80" i="25"/>
  <c r="I64" i="25"/>
  <c r="I48" i="25"/>
  <c r="I32" i="25"/>
  <c r="I16" i="25"/>
  <c r="I55" i="25"/>
  <c r="I63" i="25"/>
  <c r="I95" i="25"/>
  <c r="I70" i="25"/>
  <c r="I45" i="25"/>
  <c r="I103" i="25"/>
  <c r="I35" i="25"/>
  <c r="I31" i="25"/>
  <c r="I71" i="25"/>
  <c r="I83" i="25"/>
  <c r="I19" i="25"/>
  <c r="I75" i="25"/>
  <c r="I11" i="25"/>
  <c r="I90" i="25"/>
  <c r="I74" i="25"/>
  <c r="I58" i="25"/>
  <c r="I42" i="25"/>
  <c r="I26" i="25"/>
  <c r="I10" i="25"/>
  <c r="I97" i="25"/>
  <c r="I81" i="25"/>
  <c r="I65" i="25"/>
  <c r="I49" i="25"/>
  <c r="I33" i="25"/>
  <c r="I17" i="25"/>
  <c r="I92" i="25"/>
  <c r="I76" i="25"/>
  <c r="I60" i="25"/>
  <c r="I44" i="25"/>
  <c r="I28" i="25"/>
  <c r="I12" i="25"/>
  <c r="I110" i="25"/>
  <c r="I216" i="25"/>
  <c r="B212" i="2"/>
  <c r="A210" i="2"/>
  <c r="B52" i="2"/>
  <c r="D209" i="2" l="1"/>
  <c r="A209" i="2"/>
  <c r="D208" i="2" l="1"/>
  <c r="D264" i="2"/>
  <c r="F12" i="1"/>
  <c r="C227" i="2"/>
  <c r="C236" i="2"/>
  <c r="D236" i="2"/>
  <c r="B47" i="19"/>
  <c r="B31" i="2" l="1"/>
  <c r="B20" i="2"/>
  <c r="B21" i="2"/>
  <c r="B24" i="2"/>
  <c r="C213" i="2"/>
  <c r="C52" i="2"/>
  <c r="B76" i="2"/>
  <c r="B81" i="2" s="1"/>
  <c r="B103" i="2" l="1"/>
  <c r="B58" i="2"/>
  <c r="C58" i="2"/>
  <c r="B264" i="2"/>
  <c r="C212" i="2"/>
  <c r="F212" i="2"/>
  <c r="D212" i="2"/>
  <c r="B209" i="2"/>
  <c r="B210" i="2"/>
  <c r="B124" i="2"/>
  <c r="B120" i="2"/>
  <c r="B220" i="2" s="1"/>
  <c r="B97" i="2"/>
  <c r="B95" i="2"/>
  <c r="D32" i="1"/>
  <c r="AM5" i="24"/>
  <c r="AM216" i="24"/>
  <c r="AM110" i="24"/>
  <c r="B215" i="2" l="1"/>
  <c r="B216" i="2"/>
  <c r="C32" i="16"/>
  <c r="B218" i="2"/>
  <c r="C31" i="16"/>
  <c r="I6" i="24"/>
  <c r="I7" i="24"/>
  <c r="I8" i="24"/>
  <c r="I9" i="24"/>
  <c r="I10" i="24"/>
  <c r="I11" i="24"/>
  <c r="I12" i="24"/>
  <c r="I13" i="24"/>
  <c r="I14" i="24"/>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45" i="24"/>
  <c r="I46" i="24"/>
  <c r="I47" i="24"/>
  <c r="I48" i="24"/>
  <c r="I49" i="24"/>
  <c r="I50" i="24"/>
  <c r="I51" i="24"/>
  <c r="I52" i="24"/>
  <c r="I53" i="24"/>
  <c r="I54" i="24"/>
  <c r="I55" i="24"/>
  <c r="I56" i="24"/>
  <c r="I57" i="24"/>
  <c r="I58" i="24"/>
  <c r="I59" i="24"/>
  <c r="I60" i="24"/>
  <c r="I61" i="24"/>
  <c r="I62" i="24"/>
  <c r="I63" i="24"/>
  <c r="I64" i="24"/>
  <c r="I65" i="24"/>
  <c r="I66" i="24"/>
  <c r="I67" i="24"/>
  <c r="I68" i="24"/>
  <c r="I69" i="24"/>
  <c r="I70" i="24"/>
  <c r="I71" i="24"/>
  <c r="I72" i="24"/>
  <c r="I73" i="24"/>
  <c r="I74" i="24"/>
  <c r="I75" i="24"/>
  <c r="I76" i="24"/>
  <c r="I77" i="24"/>
  <c r="I78" i="24"/>
  <c r="I79" i="24"/>
  <c r="I80" i="24"/>
  <c r="I81" i="24"/>
  <c r="I82" i="24"/>
  <c r="I83" i="24"/>
  <c r="I84" i="24"/>
  <c r="I85" i="24"/>
  <c r="I86" i="24"/>
  <c r="I87" i="24"/>
  <c r="I88" i="24"/>
  <c r="I89" i="24"/>
  <c r="I90" i="24"/>
  <c r="I91" i="24"/>
  <c r="I92" i="24"/>
  <c r="I93" i="24"/>
  <c r="I94" i="24"/>
  <c r="I95" i="24"/>
  <c r="I96" i="24"/>
  <c r="I97" i="24"/>
  <c r="I98" i="24"/>
  <c r="I99" i="24"/>
  <c r="I100" i="24"/>
  <c r="I101" i="24"/>
  <c r="I102" i="24"/>
  <c r="I103" i="24"/>
  <c r="I104" i="24"/>
  <c r="I105" i="24"/>
  <c r="I5" i="24"/>
  <c r="D21" i="19"/>
  <c r="D36" i="19"/>
  <c r="F12" i="19"/>
  <c r="D37" i="19"/>
  <c r="D35" i="19"/>
  <c r="B41" i="2"/>
  <c r="C41" i="16" s="1"/>
  <c r="D41" i="16" s="1"/>
  <c r="B33" i="19"/>
  <c r="F56" i="2"/>
  <c r="F50" i="2"/>
  <c r="D29" i="1"/>
  <c r="G237" i="2"/>
  <c r="C232" i="2"/>
  <c r="C233" i="2"/>
  <c r="A241" i="2"/>
  <c r="G51" i="2"/>
  <c r="A199" i="2"/>
  <c r="C245" i="2"/>
  <c r="U2" i="24" l="1"/>
  <c r="B162" i="2"/>
  <c r="B166" i="2" s="1"/>
  <c r="I9" i="8" s="1"/>
  <c r="I10" i="8"/>
  <c r="B147" i="2"/>
  <c r="B144" i="2"/>
  <c r="B56" i="2" l="1"/>
  <c r="C189" i="2"/>
  <c r="K44" i="2"/>
  <c r="K34" i="16" l="1"/>
  <c r="J34" i="16"/>
  <c r="K43" i="16"/>
  <c r="K42" i="16"/>
  <c r="J43" i="16"/>
  <c r="J42" i="16"/>
  <c r="I43" i="16" l="1"/>
  <c r="I42" i="16"/>
  <c r="H43" i="16"/>
  <c r="H42" i="16"/>
  <c r="J40" i="16"/>
  <c r="K40" i="16"/>
  <c r="K32" i="16"/>
  <c r="J32" i="16"/>
  <c r="K31" i="16"/>
  <c r="J31" i="16" l="1"/>
  <c r="T61" i="2"/>
  <c r="R61" i="2"/>
  <c r="B11" i="2" l="1"/>
  <c r="B33" i="2" s="1"/>
  <c r="B26" i="19"/>
  <c r="D26" i="19" s="1"/>
  <c r="B20" i="19"/>
  <c r="D20" i="19" s="1"/>
  <c r="B27" i="19"/>
  <c r="D27" i="19" s="1"/>
  <c r="B8" i="2"/>
  <c r="B115" i="2" s="1"/>
  <c r="B75" i="2"/>
  <c r="B80" i="2" s="1"/>
  <c r="B73" i="2"/>
  <c r="B123" i="2"/>
  <c r="BP106" i="19"/>
  <c r="D45" i="19"/>
  <c r="A34" i="16"/>
  <c r="A43" i="16"/>
  <c r="A42" i="16"/>
  <c r="C246" i="2"/>
  <c r="B261" i="2"/>
  <c r="B236" i="2"/>
  <c r="B232" i="2"/>
  <c r="J50" i="2"/>
  <c r="C229" i="2"/>
  <c r="B229" i="2"/>
  <c r="B32" i="19"/>
  <c r="D32" i="19" s="1"/>
  <c r="B31" i="19"/>
  <c r="D31" i="19" s="1"/>
  <c r="B30" i="19"/>
  <c r="D30" i="19" s="1"/>
  <c r="B8" i="19"/>
  <c r="D8" i="19" s="1"/>
  <c r="F91" i="19"/>
  <c r="F90" i="19"/>
  <c r="F89" i="19"/>
  <c r="D52" i="19"/>
  <c r="D51" i="19"/>
  <c r="D50" i="19"/>
  <c r="D49" i="19"/>
  <c r="D47" i="19"/>
  <c r="D44" i="19"/>
  <c r="D43" i="19"/>
  <c r="D40" i="19"/>
  <c r="D38" i="19"/>
  <c r="D33" i="19"/>
  <c r="D29" i="19"/>
  <c r="D23" i="19"/>
  <c r="D22" i="19"/>
  <c r="D13" i="19"/>
  <c r="B181" i="2" s="1"/>
  <c r="D12" i="19"/>
  <c r="A31" i="16"/>
  <c r="B214" i="2"/>
  <c r="A213" i="2"/>
  <c r="B9" i="2"/>
  <c r="I6" i="8"/>
  <c r="J6" i="8" s="1"/>
  <c r="D40" i="16"/>
  <c r="C45" i="16"/>
  <c r="B146" i="2"/>
  <c r="B149" i="2" s="1"/>
  <c r="B141" i="2"/>
  <c r="B199" i="2"/>
  <c r="B213" i="2"/>
  <c r="B7" i="2"/>
  <c r="B132" i="2"/>
  <c r="B134" i="2" s="1"/>
  <c r="B176" i="2"/>
  <c r="BB1" i="24" s="1"/>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12" i="8" s="1"/>
  <c r="A124" i="8" s="1"/>
  <c r="A136" i="8" s="1"/>
  <c r="A148" i="8" s="1"/>
  <c r="A101" i="8"/>
  <c r="A102" i="8"/>
  <c r="A103" i="8"/>
  <c r="A104" i="8"/>
  <c r="A105" i="8"/>
  <c r="A106" i="8"/>
  <c r="A107" i="8"/>
  <c r="A108" i="8"/>
  <c r="A109" i="8"/>
  <c r="A110" i="8"/>
  <c r="A111" i="8"/>
  <c r="A113" i="8"/>
  <c r="A114" i="8"/>
  <c r="A115" i="8"/>
  <c r="A116" i="8"/>
  <c r="A117" i="8"/>
  <c r="A118" i="8"/>
  <c r="A119" i="8"/>
  <c r="A120" i="8"/>
  <c r="A121" i="8"/>
  <c r="A122" i="8"/>
  <c r="A123" i="8"/>
  <c r="A125" i="8"/>
  <c r="A126" i="8"/>
  <c r="A127" i="8"/>
  <c r="A128" i="8"/>
  <c r="A129" i="8"/>
  <c r="A130" i="8"/>
  <c r="A131" i="8"/>
  <c r="A132" i="8"/>
  <c r="A133" i="8"/>
  <c r="A134" i="8"/>
  <c r="A135" i="8"/>
  <c r="A137" i="8"/>
  <c r="A138" i="8"/>
  <c r="A139" i="8"/>
  <c r="A140" i="8"/>
  <c r="A141" i="8"/>
  <c r="A142" i="8"/>
  <c r="A143" i="8"/>
  <c r="A144" i="8"/>
  <c r="A145" i="8"/>
  <c r="A146" i="8"/>
  <c r="A147" i="8"/>
  <c r="A149" i="8"/>
  <c r="A150" i="8"/>
  <c r="A151" i="8"/>
  <c r="A152" i="8"/>
  <c r="A153" i="8"/>
  <c r="A154" i="8"/>
  <c r="A155" i="8"/>
  <c r="A156" i="8"/>
  <c r="A157" i="8"/>
  <c r="A158" i="8"/>
  <c r="A159" i="8"/>
  <c r="E3" i="8"/>
  <c r="A208" i="2"/>
  <c r="B208" i="2"/>
  <c r="I14" i="8"/>
  <c r="B186" i="2"/>
  <c r="I13" i="8"/>
  <c r="J13" i="8" s="1"/>
  <c r="I7" i="8"/>
  <c r="J7" i="8" s="1"/>
  <c r="J14" i="8"/>
  <c r="B84" i="2" l="1"/>
  <c r="L6" i="1" s="1"/>
  <c r="G11" i="2"/>
  <c r="B61" i="2"/>
  <c r="M2" i="24"/>
  <c r="S5" i="24"/>
  <c r="T5" i="24" s="1"/>
  <c r="D39" i="16"/>
  <c r="K12" i="2"/>
  <c r="K11" i="2"/>
  <c r="BI9" i="25"/>
  <c r="BI69" i="25"/>
  <c r="BI15" i="25"/>
  <c r="BI31" i="25"/>
  <c r="BI47" i="25"/>
  <c r="BI63" i="25"/>
  <c r="BI79" i="25"/>
  <c r="BI29" i="25"/>
  <c r="BI65" i="25"/>
  <c r="BI8" i="25"/>
  <c r="BI24" i="25"/>
  <c r="BI40" i="25"/>
  <c r="BI56" i="25"/>
  <c r="BI72" i="25"/>
  <c r="BI88" i="25"/>
  <c r="BI49" i="25"/>
  <c r="BI6" i="25"/>
  <c r="BI22" i="25"/>
  <c r="BI38" i="25"/>
  <c r="BI54" i="25"/>
  <c r="BI70" i="25"/>
  <c r="BI86" i="25"/>
  <c r="BI102" i="25"/>
  <c r="BI104" i="25"/>
  <c r="BI97" i="25"/>
  <c r="BI105" i="25"/>
  <c r="BI42" i="25"/>
  <c r="BI74" i="25"/>
  <c r="BI92" i="25"/>
  <c r="BI99" i="25"/>
  <c r="BI27" i="25"/>
  <c r="BI75" i="25"/>
  <c r="BI5" i="25"/>
  <c r="BI68" i="25"/>
  <c r="BI85" i="25"/>
  <c r="BI34" i="25"/>
  <c r="BI82" i="25"/>
  <c r="BI95" i="25"/>
  <c r="BI21" i="25"/>
  <c r="BI81" i="25"/>
  <c r="BI19" i="25"/>
  <c r="BI35" i="25"/>
  <c r="BI51" i="25"/>
  <c r="BI67" i="25"/>
  <c r="BI83" i="25"/>
  <c r="BI33" i="25"/>
  <c r="BI77" i="25"/>
  <c r="BI12" i="25"/>
  <c r="BI28" i="25"/>
  <c r="BI44" i="25"/>
  <c r="BI60" i="25"/>
  <c r="BI76" i="25"/>
  <c r="BI13" i="25"/>
  <c r="BI61" i="25"/>
  <c r="BI10" i="25"/>
  <c r="BI26" i="25"/>
  <c r="BI58" i="25"/>
  <c r="BI90" i="25"/>
  <c r="BI91" i="25"/>
  <c r="BI11" i="25"/>
  <c r="BI17" i="25"/>
  <c r="BI36" i="25"/>
  <c r="BI37" i="25"/>
  <c r="BI50" i="25"/>
  <c r="BI96" i="25"/>
  <c r="BI41" i="25"/>
  <c r="BI7" i="25"/>
  <c r="BI23" i="25"/>
  <c r="BI39" i="25"/>
  <c r="BI55" i="25"/>
  <c r="BI71" i="25"/>
  <c r="BI87" i="25"/>
  <c r="BI45" i="25"/>
  <c r="BI89" i="25"/>
  <c r="BI16" i="25"/>
  <c r="BI32" i="25"/>
  <c r="BI48" i="25"/>
  <c r="BI64" i="25"/>
  <c r="BI80" i="25"/>
  <c r="BI25" i="25"/>
  <c r="BI73" i="25"/>
  <c r="BI14" i="25"/>
  <c r="BI30" i="25"/>
  <c r="BI46" i="25"/>
  <c r="BI62" i="25"/>
  <c r="BI78" i="25"/>
  <c r="BI98" i="25"/>
  <c r="BI100" i="25"/>
  <c r="BI93" i="25"/>
  <c r="BI101" i="25"/>
  <c r="BI53" i="25"/>
  <c r="BI43" i="25"/>
  <c r="BI59" i="25"/>
  <c r="BI57" i="25"/>
  <c r="BI20" i="25"/>
  <c r="BI52" i="25"/>
  <c r="BI84" i="25"/>
  <c r="BI18" i="25"/>
  <c r="BI66" i="25"/>
  <c r="BI94" i="25"/>
  <c r="BI103" i="25"/>
  <c r="BQ5" i="24"/>
  <c r="B28" i="2"/>
  <c r="C39" i="16"/>
  <c r="R42" i="2"/>
  <c r="J210" i="25"/>
  <c r="J206" i="25"/>
  <c r="J202" i="25"/>
  <c r="J198" i="25"/>
  <c r="J194" i="25"/>
  <c r="J190" i="25"/>
  <c r="J186" i="25"/>
  <c r="J182" i="25"/>
  <c r="J178" i="25"/>
  <c r="J174" i="25"/>
  <c r="J170" i="25"/>
  <c r="J166" i="25"/>
  <c r="J162" i="25"/>
  <c r="J158" i="25"/>
  <c r="J154" i="25"/>
  <c r="J150" i="25"/>
  <c r="J146" i="25"/>
  <c r="J142" i="25"/>
  <c r="J138" i="25"/>
  <c r="J134" i="25"/>
  <c r="J130" i="25"/>
  <c r="J126" i="25"/>
  <c r="J122" i="25"/>
  <c r="J118" i="25"/>
  <c r="J114" i="25"/>
  <c r="J207" i="25"/>
  <c r="J179" i="25"/>
  <c r="J167" i="25"/>
  <c r="J155" i="25"/>
  <c r="J147" i="25"/>
  <c r="J135" i="25"/>
  <c r="J119" i="25"/>
  <c r="J111" i="25"/>
  <c r="J209" i="25"/>
  <c r="J205" i="25"/>
  <c r="J201" i="25"/>
  <c r="J197" i="25"/>
  <c r="J193" i="25"/>
  <c r="J189" i="25"/>
  <c r="J185" i="25"/>
  <c r="J181" i="25"/>
  <c r="J177" i="25"/>
  <c r="J173" i="25"/>
  <c r="J169" i="25"/>
  <c r="J165" i="25"/>
  <c r="J161" i="25"/>
  <c r="J157" i="25"/>
  <c r="J153" i="25"/>
  <c r="J149" i="25"/>
  <c r="J145" i="25"/>
  <c r="J141" i="25"/>
  <c r="J137" i="25"/>
  <c r="J133" i="25"/>
  <c r="J129" i="25"/>
  <c r="J125" i="25"/>
  <c r="J121" i="25"/>
  <c r="J117" i="25"/>
  <c r="J113" i="25"/>
  <c r="J110" i="25"/>
  <c r="BI110" i="25" s="1"/>
  <c r="J203" i="25"/>
  <c r="J195" i="25"/>
  <c r="J191" i="25"/>
  <c r="J187" i="25"/>
  <c r="J175" i="25"/>
  <c r="J159" i="25"/>
  <c r="J139" i="25"/>
  <c r="J127" i="25"/>
  <c r="J208" i="25"/>
  <c r="J204" i="25"/>
  <c r="J200" i="25"/>
  <c r="J196" i="25"/>
  <c r="J192" i="25"/>
  <c r="J188" i="25"/>
  <c r="J184" i="25"/>
  <c r="J180" i="25"/>
  <c r="J176" i="25"/>
  <c r="J172" i="25"/>
  <c r="J168" i="25"/>
  <c r="J164" i="25"/>
  <c r="J160" i="25"/>
  <c r="J156" i="25"/>
  <c r="J152" i="25"/>
  <c r="J148" i="25"/>
  <c r="J144" i="25"/>
  <c r="J140" i="25"/>
  <c r="J136" i="25"/>
  <c r="J132" i="25"/>
  <c r="J128" i="25"/>
  <c r="J124" i="25"/>
  <c r="J120" i="25"/>
  <c r="J116" i="25"/>
  <c r="J112" i="25"/>
  <c r="J199" i="25"/>
  <c r="J183" i="25"/>
  <c r="J171" i="25"/>
  <c r="J163" i="25"/>
  <c r="J151" i="25"/>
  <c r="J143" i="25"/>
  <c r="J131" i="25"/>
  <c r="J123" i="25"/>
  <c r="J115" i="25"/>
  <c r="B14" i="2"/>
  <c r="H110" i="25"/>
  <c r="AH110" i="25" s="1"/>
  <c r="H5" i="25"/>
  <c r="AH5" i="25" s="1"/>
  <c r="H216" i="25"/>
  <c r="AH216" i="25" s="1"/>
  <c r="L105" i="25"/>
  <c r="L101" i="25"/>
  <c r="L97" i="25"/>
  <c r="L93" i="25"/>
  <c r="N104" i="25"/>
  <c r="N96" i="25"/>
  <c r="N93" i="25"/>
  <c r="N83" i="25"/>
  <c r="N75" i="25"/>
  <c r="N67" i="25"/>
  <c r="N59" i="25"/>
  <c r="N51" i="25"/>
  <c r="N43" i="25"/>
  <c r="L37" i="25"/>
  <c r="N31" i="25"/>
  <c r="N23" i="25"/>
  <c r="N15" i="25"/>
  <c r="L84" i="25"/>
  <c r="L64" i="25"/>
  <c r="L48" i="25"/>
  <c r="L28" i="25"/>
  <c r="L12" i="25"/>
  <c r="L8" i="25"/>
  <c r="N99" i="25"/>
  <c r="N86" i="25"/>
  <c r="N78" i="25"/>
  <c r="N70" i="25"/>
  <c r="N50" i="25"/>
  <c r="N38" i="25"/>
  <c r="N34" i="25"/>
  <c r="N18" i="25"/>
  <c r="N95" i="25"/>
  <c r="L83" i="25"/>
  <c r="L75" i="25"/>
  <c r="L67" i="25"/>
  <c r="L104" i="25"/>
  <c r="L100" i="25"/>
  <c r="L96" i="25"/>
  <c r="L92" i="25"/>
  <c r="N102" i="25"/>
  <c r="N94" i="25"/>
  <c r="L90" i="25"/>
  <c r="L82" i="25"/>
  <c r="L74" i="25"/>
  <c r="L66" i="25"/>
  <c r="L58" i="25"/>
  <c r="L50" i="25"/>
  <c r="L42" i="25"/>
  <c r="L36" i="25"/>
  <c r="L30" i="25"/>
  <c r="L22" i="25"/>
  <c r="L14" i="25"/>
  <c r="N81" i="25"/>
  <c r="L60" i="25"/>
  <c r="N45" i="25"/>
  <c r="N21" i="25"/>
  <c r="L11" i="25"/>
  <c r="L7" i="25"/>
  <c r="N91" i="25"/>
  <c r="L102" i="25"/>
  <c r="L98" i="25"/>
  <c r="L94" i="25"/>
  <c r="N98" i="25"/>
  <c r="N101" i="25"/>
  <c r="L86" i="25"/>
  <c r="L78" i="25"/>
  <c r="L70" i="25"/>
  <c r="L62" i="25"/>
  <c r="L54" i="25"/>
  <c r="L46" i="25"/>
  <c r="L38" i="25"/>
  <c r="L34" i="25"/>
  <c r="L26" i="25"/>
  <c r="L18" i="25"/>
  <c r="N89" i="25"/>
  <c r="N69" i="25"/>
  <c r="L52" i="25"/>
  <c r="N41" i="25"/>
  <c r="N13" i="25"/>
  <c r="L9" i="25"/>
  <c r="L5" i="25"/>
  <c r="L89" i="25"/>
  <c r="L99" i="25"/>
  <c r="N71" i="25"/>
  <c r="N39" i="25"/>
  <c r="N97" i="25"/>
  <c r="L16" i="25"/>
  <c r="L85" i="25"/>
  <c r="N74" i="25"/>
  <c r="L53" i="25"/>
  <c r="N37" i="25"/>
  <c r="N26" i="25"/>
  <c r="L87" i="25"/>
  <c r="N76" i="25"/>
  <c r="N64" i="25"/>
  <c r="N56" i="25"/>
  <c r="N48" i="25"/>
  <c r="N40" i="25"/>
  <c r="N28" i="25"/>
  <c r="N20" i="25"/>
  <c r="N12" i="25"/>
  <c r="N8" i="25"/>
  <c r="N105" i="25"/>
  <c r="N77" i="25"/>
  <c r="N65" i="25"/>
  <c r="N49" i="25"/>
  <c r="N29" i="25"/>
  <c r="N17" i="25"/>
  <c r="L61" i="25"/>
  <c r="L41" i="25"/>
  <c r="L21" i="25"/>
  <c r="N11" i="25"/>
  <c r="L88" i="25"/>
  <c r="N61" i="25"/>
  <c r="N25" i="25"/>
  <c r="N66" i="25"/>
  <c r="L57" i="25"/>
  <c r="L17" i="25"/>
  <c r="L91" i="25"/>
  <c r="N100" i="25"/>
  <c r="N27" i="25"/>
  <c r="N53" i="25"/>
  <c r="L81" i="25"/>
  <c r="N35" i="25"/>
  <c r="N14" i="25"/>
  <c r="N80" i="25"/>
  <c r="N60" i="25"/>
  <c r="N44" i="25"/>
  <c r="N24" i="25"/>
  <c r="N10" i="25"/>
  <c r="N85" i="25"/>
  <c r="N33" i="25"/>
  <c r="L65" i="25"/>
  <c r="L29" i="25"/>
  <c r="L95" i="25"/>
  <c r="N63" i="25"/>
  <c r="L35" i="25"/>
  <c r="L72" i="25"/>
  <c r="L10" i="25"/>
  <c r="N82" i="25"/>
  <c r="L73" i="25"/>
  <c r="N46" i="25"/>
  <c r="N36" i="25"/>
  <c r="N22" i="25"/>
  <c r="N84" i="25"/>
  <c r="N72" i="25"/>
  <c r="L63" i="25"/>
  <c r="L55" i="25"/>
  <c r="L47" i="25"/>
  <c r="L39" i="25"/>
  <c r="L27" i="25"/>
  <c r="L19" i="25"/>
  <c r="N7" i="25"/>
  <c r="T7" i="25" s="1"/>
  <c r="L76" i="25"/>
  <c r="L40" i="25"/>
  <c r="L33" i="25"/>
  <c r="N87" i="25"/>
  <c r="L6" i="25"/>
  <c r="L45" i="25"/>
  <c r="N103" i="25"/>
  <c r="N52" i="25"/>
  <c r="N16" i="25"/>
  <c r="N73" i="25"/>
  <c r="L24" i="25"/>
  <c r="L13" i="25"/>
  <c r="L103" i="25"/>
  <c r="N92" i="25"/>
  <c r="N79" i="25"/>
  <c r="N47" i="25"/>
  <c r="N19" i="25"/>
  <c r="L44" i="25"/>
  <c r="N90" i="25"/>
  <c r="L77" i="25"/>
  <c r="N58" i="25"/>
  <c r="N42" i="25"/>
  <c r="N30" i="25"/>
  <c r="N88" i="25"/>
  <c r="L79" i="25"/>
  <c r="N68" i="25"/>
  <c r="L59" i="25"/>
  <c r="L51" i="25"/>
  <c r="L43" i="25"/>
  <c r="L31" i="25"/>
  <c r="L23" i="25"/>
  <c r="L15" i="25"/>
  <c r="N9" i="25"/>
  <c r="N5" i="25"/>
  <c r="L80" i="25"/>
  <c r="L68" i="25"/>
  <c r="L56" i="25"/>
  <c r="L32" i="25"/>
  <c r="L20" i="25"/>
  <c r="N62" i="25"/>
  <c r="L49" i="25"/>
  <c r="L25" i="25"/>
  <c r="N55" i="25"/>
  <c r="L69" i="25"/>
  <c r="L71" i="25"/>
  <c r="N32" i="25"/>
  <c r="N6" i="25"/>
  <c r="T6" i="25" s="1"/>
  <c r="N57" i="25"/>
  <c r="N54" i="25"/>
  <c r="J313" i="25"/>
  <c r="J309" i="25"/>
  <c r="J305" i="25"/>
  <c r="J301" i="25"/>
  <c r="J297" i="25"/>
  <c r="J293" i="25"/>
  <c r="J289" i="25"/>
  <c r="J285" i="25"/>
  <c r="J281" i="25"/>
  <c r="J277" i="25"/>
  <c r="J273" i="25"/>
  <c r="J269" i="25"/>
  <c r="J265" i="25"/>
  <c r="J261" i="25"/>
  <c r="J257" i="25"/>
  <c r="J253" i="25"/>
  <c r="J249" i="25"/>
  <c r="J245" i="25"/>
  <c r="J241" i="25"/>
  <c r="J237" i="25"/>
  <c r="J233" i="25"/>
  <c r="J229" i="25"/>
  <c r="J225" i="25"/>
  <c r="J221" i="25"/>
  <c r="J217" i="25"/>
  <c r="J316" i="25"/>
  <c r="J312" i="25"/>
  <c r="J308" i="25"/>
  <c r="J304" i="25"/>
  <c r="J300" i="25"/>
  <c r="J296" i="25"/>
  <c r="J292" i="25"/>
  <c r="J288" i="25"/>
  <c r="J284" i="25"/>
  <c r="J280" i="25"/>
  <c r="J276" i="25"/>
  <c r="J272" i="25"/>
  <c r="J268" i="25"/>
  <c r="J264" i="25"/>
  <c r="J260" i="25"/>
  <c r="J256" i="25"/>
  <c r="J252" i="25"/>
  <c r="J248" i="25"/>
  <c r="J244" i="25"/>
  <c r="J240" i="25"/>
  <c r="J236" i="25"/>
  <c r="J232" i="25"/>
  <c r="J228" i="25"/>
  <c r="J224" i="25"/>
  <c r="J220" i="25"/>
  <c r="J315" i="25"/>
  <c r="J311" i="25"/>
  <c r="J307" i="25"/>
  <c r="J303" i="25"/>
  <c r="J299" i="25"/>
  <c r="J295" i="25"/>
  <c r="J291" i="25"/>
  <c r="J287" i="25"/>
  <c r="J283" i="25"/>
  <c r="J279" i="25"/>
  <c r="J275" i="25"/>
  <c r="J271" i="25"/>
  <c r="J267" i="25"/>
  <c r="J263" i="25"/>
  <c r="J259" i="25"/>
  <c r="J255" i="25"/>
  <c r="J251" i="25"/>
  <c r="J247" i="25"/>
  <c r="J243" i="25"/>
  <c r="J239" i="25"/>
  <c r="J235" i="25"/>
  <c r="J231" i="25"/>
  <c r="J227" i="25"/>
  <c r="J223" i="25"/>
  <c r="J219" i="25"/>
  <c r="J216" i="25"/>
  <c r="J314" i="25"/>
  <c r="J310" i="25"/>
  <c r="J306" i="25"/>
  <c r="J302" i="25"/>
  <c r="J298" i="25"/>
  <c r="J294" i="25"/>
  <c r="J290" i="25"/>
  <c r="J286" i="25"/>
  <c r="J282" i="25"/>
  <c r="J266" i="25"/>
  <c r="J250" i="25"/>
  <c r="J234" i="25"/>
  <c r="J218" i="25"/>
  <c r="J278" i="25"/>
  <c r="J262" i="25"/>
  <c r="J246" i="25"/>
  <c r="J230" i="25"/>
  <c r="J274" i="25"/>
  <c r="J258" i="25"/>
  <c r="J242" i="25"/>
  <c r="J226" i="25"/>
  <c r="J270" i="25"/>
  <c r="J254" i="25"/>
  <c r="J238" i="25"/>
  <c r="J222" i="25"/>
  <c r="B63" i="2"/>
  <c r="B62" i="2"/>
  <c r="B161" i="2"/>
  <c r="E26" i="1" s="1"/>
  <c r="BK105" i="24"/>
  <c r="BK65" i="24"/>
  <c r="BK25" i="24"/>
  <c r="BK100" i="24"/>
  <c r="BK84" i="24"/>
  <c r="BK68" i="24"/>
  <c r="BK52" i="24"/>
  <c r="BK36" i="24"/>
  <c r="BK20" i="24"/>
  <c r="BK97" i="24"/>
  <c r="BK37" i="24"/>
  <c r="BK95" i="24"/>
  <c r="BK79" i="24"/>
  <c r="BK63" i="24"/>
  <c r="BK47" i="24"/>
  <c r="BK31" i="24"/>
  <c r="BK15" i="24"/>
  <c r="BK89" i="24"/>
  <c r="BK45" i="24"/>
  <c r="BK98" i="24"/>
  <c r="BK82" i="24"/>
  <c r="BK66" i="24"/>
  <c r="BK50" i="24"/>
  <c r="BK34" i="24"/>
  <c r="BK18" i="24"/>
  <c r="BK78" i="24"/>
  <c r="BK46" i="24"/>
  <c r="BK30" i="24"/>
  <c r="BK83" i="24"/>
  <c r="BK19" i="24"/>
  <c r="BK102" i="24"/>
  <c r="BK70" i="24"/>
  <c r="BK22" i="24"/>
  <c r="BK93" i="24"/>
  <c r="BK49" i="24"/>
  <c r="BK13" i="24"/>
  <c r="BK96" i="24"/>
  <c r="BK80" i="24"/>
  <c r="BK64" i="24"/>
  <c r="BK48" i="24"/>
  <c r="BK32" i="24"/>
  <c r="BK16" i="24"/>
  <c r="BK81" i="24"/>
  <c r="BK21" i="24"/>
  <c r="BK91" i="24"/>
  <c r="BK75" i="24"/>
  <c r="BK59" i="24"/>
  <c r="BK43" i="24"/>
  <c r="BK27" i="24"/>
  <c r="BK11" i="24"/>
  <c r="BK77" i="24"/>
  <c r="BK33" i="24"/>
  <c r="BK94" i="24"/>
  <c r="BK62" i="24"/>
  <c r="BK14" i="24"/>
  <c r="BK51" i="24"/>
  <c r="BK53" i="24"/>
  <c r="BK54" i="24"/>
  <c r="BK85" i="24"/>
  <c r="BK41" i="24"/>
  <c r="BK9" i="24"/>
  <c r="BK92" i="24"/>
  <c r="BK76" i="24"/>
  <c r="BK60" i="24"/>
  <c r="BK44" i="24"/>
  <c r="BK28" i="24"/>
  <c r="BK12" i="24"/>
  <c r="BK69" i="24"/>
  <c r="BK103" i="24"/>
  <c r="BK87" i="24"/>
  <c r="BK71" i="24"/>
  <c r="BK55" i="24"/>
  <c r="BK39" i="24"/>
  <c r="BK23" i="24"/>
  <c r="BK7" i="24"/>
  <c r="BK61" i="24"/>
  <c r="BK17" i="24"/>
  <c r="BK90" i="24"/>
  <c r="BK74" i="24"/>
  <c r="BK58" i="24"/>
  <c r="BK42" i="24"/>
  <c r="BK26" i="24"/>
  <c r="BK10" i="24"/>
  <c r="BK73" i="24"/>
  <c r="BK29" i="24"/>
  <c r="BK104" i="24"/>
  <c r="BK88" i="24"/>
  <c r="BK72" i="24"/>
  <c r="BK56" i="24"/>
  <c r="BK40" i="24"/>
  <c r="BK24" i="24"/>
  <c r="BK8" i="24"/>
  <c r="BK57" i="24"/>
  <c r="BK99" i="24"/>
  <c r="BK67" i="24"/>
  <c r="BK35" i="24"/>
  <c r="BK101" i="24"/>
  <c r="BK86" i="24"/>
  <c r="BK38" i="24"/>
  <c r="BK6" i="24"/>
  <c r="B182" i="2"/>
  <c r="BK5" i="24"/>
  <c r="B178" i="2"/>
  <c r="B30" i="2"/>
  <c r="AW2" i="25" s="1"/>
  <c r="B125" i="2"/>
  <c r="I113" i="24"/>
  <c r="I117" i="24"/>
  <c r="I121" i="24"/>
  <c r="I125" i="24"/>
  <c r="I129" i="24"/>
  <c r="I133" i="24"/>
  <c r="I137" i="24"/>
  <c r="I141" i="24"/>
  <c r="I145" i="24"/>
  <c r="I149" i="24"/>
  <c r="I153" i="24"/>
  <c r="I157" i="24"/>
  <c r="I161" i="24"/>
  <c r="I165" i="24"/>
  <c r="I169" i="24"/>
  <c r="I173" i="24"/>
  <c r="I177" i="24"/>
  <c r="I181" i="24"/>
  <c r="I185" i="24"/>
  <c r="I189" i="24"/>
  <c r="I193" i="24"/>
  <c r="I197" i="24"/>
  <c r="I201" i="24"/>
  <c r="I205" i="24"/>
  <c r="I209" i="24"/>
  <c r="I114" i="24"/>
  <c r="I118" i="24"/>
  <c r="I122" i="24"/>
  <c r="I126" i="24"/>
  <c r="I130" i="24"/>
  <c r="I134" i="24"/>
  <c r="I138" i="24"/>
  <c r="I116" i="24"/>
  <c r="I124" i="24"/>
  <c r="I132" i="24"/>
  <c r="I140" i="24"/>
  <c r="I146" i="24"/>
  <c r="I151" i="24"/>
  <c r="I156" i="24"/>
  <c r="I162" i="24"/>
  <c r="I167" i="24"/>
  <c r="I172" i="24"/>
  <c r="I178" i="24"/>
  <c r="I183" i="24"/>
  <c r="I188" i="24"/>
  <c r="I194" i="24"/>
  <c r="I199" i="24"/>
  <c r="I204" i="24"/>
  <c r="I210" i="24"/>
  <c r="I111" i="24"/>
  <c r="I119" i="24"/>
  <c r="I127" i="24"/>
  <c r="I135" i="24"/>
  <c r="I142" i="24"/>
  <c r="I147" i="24"/>
  <c r="I152" i="24"/>
  <c r="I158" i="24"/>
  <c r="I163" i="24"/>
  <c r="I168" i="24"/>
  <c r="I174" i="24"/>
  <c r="I179" i="24"/>
  <c r="I184" i="24"/>
  <c r="I190" i="24"/>
  <c r="I195" i="24"/>
  <c r="I200" i="24"/>
  <c r="I206" i="24"/>
  <c r="I110" i="24"/>
  <c r="BK110" i="24" s="1"/>
  <c r="I112" i="24"/>
  <c r="I120" i="24"/>
  <c r="I128" i="24"/>
  <c r="I136" i="24"/>
  <c r="I143" i="24"/>
  <c r="I148" i="24"/>
  <c r="I154" i="24"/>
  <c r="I159" i="24"/>
  <c r="I164" i="24"/>
  <c r="I170" i="24"/>
  <c r="I175" i="24"/>
  <c r="I180" i="24"/>
  <c r="I186" i="24"/>
  <c r="I191" i="24"/>
  <c r="I196" i="24"/>
  <c r="I202" i="24"/>
  <c r="I207" i="24"/>
  <c r="I115" i="24"/>
  <c r="I123" i="24"/>
  <c r="I131" i="24"/>
  <c r="I139" i="24"/>
  <c r="I144" i="24"/>
  <c r="I150" i="24"/>
  <c r="I155" i="24"/>
  <c r="I160" i="24"/>
  <c r="I166" i="24"/>
  <c r="I171" i="24"/>
  <c r="I176" i="24"/>
  <c r="I182" i="24"/>
  <c r="I187" i="24"/>
  <c r="I192" i="24"/>
  <c r="I198" i="24"/>
  <c r="I203" i="24"/>
  <c r="I208" i="24"/>
  <c r="H216" i="24"/>
  <c r="H110" i="24"/>
  <c r="I217" i="24"/>
  <c r="I221" i="24"/>
  <c r="I225" i="24"/>
  <c r="I229" i="24"/>
  <c r="I233" i="24"/>
  <c r="I237" i="24"/>
  <c r="I241" i="24"/>
  <c r="I245" i="24"/>
  <c r="I249" i="24"/>
  <c r="I253" i="24"/>
  <c r="I257" i="24"/>
  <c r="I261" i="24"/>
  <c r="I265" i="24"/>
  <c r="I269" i="24"/>
  <c r="I273" i="24"/>
  <c r="I277" i="24"/>
  <c r="I281" i="24"/>
  <c r="I285" i="24"/>
  <c r="I289" i="24"/>
  <c r="I293" i="24"/>
  <c r="I297" i="24"/>
  <c r="I301" i="24"/>
  <c r="I305" i="24"/>
  <c r="I309" i="24"/>
  <c r="I313" i="24"/>
  <c r="I216" i="24"/>
  <c r="I219" i="24"/>
  <c r="I235" i="24"/>
  <c r="I243" i="24"/>
  <c r="I251" i="24"/>
  <c r="I259" i="24"/>
  <c r="I267" i="24"/>
  <c r="I275" i="24"/>
  <c r="I283" i="24"/>
  <c r="I291" i="24"/>
  <c r="I299" i="24"/>
  <c r="I303" i="24"/>
  <c r="I311" i="24"/>
  <c r="I224" i="24"/>
  <c r="I232" i="24"/>
  <c r="I240" i="24"/>
  <c r="I248" i="24"/>
  <c r="I256" i="24"/>
  <c r="I264" i="24"/>
  <c r="I272" i="24"/>
  <c r="I280" i="24"/>
  <c r="I288" i="24"/>
  <c r="I296" i="24"/>
  <c r="I300" i="24"/>
  <c r="I308" i="24"/>
  <c r="I218" i="24"/>
  <c r="I222" i="24"/>
  <c r="I226" i="24"/>
  <c r="I230" i="24"/>
  <c r="I234" i="24"/>
  <c r="I238" i="24"/>
  <c r="I242" i="24"/>
  <c r="I246" i="24"/>
  <c r="I250" i="24"/>
  <c r="I254" i="24"/>
  <c r="I258" i="24"/>
  <c r="I262" i="24"/>
  <c r="I266" i="24"/>
  <c r="I270" i="24"/>
  <c r="I274" i="24"/>
  <c r="I278" i="24"/>
  <c r="I282" i="24"/>
  <c r="I286" i="24"/>
  <c r="I290" i="24"/>
  <c r="I294" i="24"/>
  <c r="I298" i="24"/>
  <c r="I302" i="24"/>
  <c r="I306" i="24"/>
  <c r="I310" i="24"/>
  <c r="I314" i="24"/>
  <c r="I223" i="24"/>
  <c r="I227" i="24"/>
  <c r="I231" i="24"/>
  <c r="I239" i="24"/>
  <c r="I247" i="24"/>
  <c r="I255" i="24"/>
  <c r="I263" i="24"/>
  <c r="I271" i="24"/>
  <c r="I279" i="24"/>
  <c r="I287" i="24"/>
  <c r="I295" i="24"/>
  <c r="I307" i="24"/>
  <c r="I315" i="24"/>
  <c r="I220" i="24"/>
  <c r="I228" i="24"/>
  <c r="I236" i="24"/>
  <c r="I244" i="24"/>
  <c r="I252" i="24"/>
  <c r="I260" i="24"/>
  <c r="I268" i="24"/>
  <c r="I276" i="24"/>
  <c r="I284" i="24"/>
  <c r="I292" i="24"/>
  <c r="I304" i="24"/>
  <c r="I312" i="24"/>
  <c r="I316" i="24"/>
  <c r="E15" i="23"/>
  <c r="R15" i="23" s="1"/>
  <c r="E23" i="23"/>
  <c r="R23" i="23" s="1"/>
  <c r="E31" i="23"/>
  <c r="R31" i="23" s="1"/>
  <c r="E39" i="23"/>
  <c r="R39" i="23" s="1"/>
  <c r="E47" i="23"/>
  <c r="R47" i="23" s="1"/>
  <c r="E55" i="23"/>
  <c r="R55" i="23" s="1"/>
  <c r="E63" i="23"/>
  <c r="R63" i="23" s="1"/>
  <c r="E71" i="23"/>
  <c r="R71" i="23" s="1"/>
  <c r="E79" i="23"/>
  <c r="R79" i="23" s="1"/>
  <c r="E87" i="23"/>
  <c r="R87" i="23" s="1"/>
  <c r="E95" i="23"/>
  <c r="R95" i="23" s="1"/>
  <c r="E103" i="23"/>
  <c r="R103" i="23" s="1"/>
  <c r="E20" i="23"/>
  <c r="R20" i="23" s="1"/>
  <c r="E44" i="23"/>
  <c r="R44" i="23" s="1"/>
  <c r="E68" i="23"/>
  <c r="R68" i="23" s="1"/>
  <c r="E84" i="23"/>
  <c r="R84" i="23" s="1"/>
  <c r="E7" i="23"/>
  <c r="R7" i="23" s="1"/>
  <c r="E16" i="23"/>
  <c r="R16" i="23" s="1"/>
  <c r="E24" i="23"/>
  <c r="R24" i="23" s="1"/>
  <c r="E32" i="23"/>
  <c r="R32" i="23" s="1"/>
  <c r="E40" i="23"/>
  <c r="R40" i="23" s="1"/>
  <c r="E48" i="23"/>
  <c r="R48" i="23" s="1"/>
  <c r="E56" i="23"/>
  <c r="R56" i="23" s="1"/>
  <c r="E64" i="23"/>
  <c r="R64" i="23" s="1"/>
  <c r="E72" i="23"/>
  <c r="R72" i="23" s="1"/>
  <c r="E80" i="23"/>
  <c r="R80" i="23" s="1"/>
  <c r="E88" i="23"/>
  <c r="R88" i="23" s="1"/>
  <c r="E96" i="23"/>
  <c r="R96" i="23" s="1"/>
  <c r="E104" i="23"/>
  <c r="R104" i="23" s="1"/>
  <c r="E28" i="23"/>
  <c r="R28" i="23" s="1"/>
  <c r="E60" i="23"/>
  <c r="R60" i="23" s="1"/>
  <c r="E92" i="23"/>
  <c r="R92" i="23" s="1"/>
  <c r="E11" i="23"/>
  <c r="R11" i="23" s="1"/>
  <c r="E19" i="23"/>
  <c r="R19" i="23" s="1"/>
  <c r="E27" i="23"/>
  <c r="R27" i="23" s="1"/>
  <c r="E35" i="23"/>
  <c r="R35" i="23" s="1"/>
  <c r="E43" i="23"/>
  <c r="R43" i="23" s="1"/>
  <c r="E51" i="23"/>
  <c r="R51" i="23" s="1"/>
  <c r="E59" i="23"/>
  <c r="R59" i="23" s="1"/>
  <c r="E67" i="23"/>
  <c r="R67" i="23" s="1"/>
  <c r="E75" i="23"/>
  <c r="R75" i="23" s="1"/>
  <c r="E83" i="23"/>
  <c r="R83" i="23" s="1"/>
  <c r="E91" i="23"/>
  <c r="R91" i="23" s="1"/>
  <c r="E99" i="23"/>
  <c r="R99" i="23" s="1"/>
  <c r="E6" i="23"/>
  <c r="R6" i="23" s="1"/>
  <c r="E12" i="23"/>
  <c r="R12" i="23" s="1"/>
  <c r="E36" i="23"/>
  <c r="R36" i="23" s="1"/>
  <c r="E52" i="23"/>
  <c r="R52" i="23" s="1"/>
  <c r="E76" i="23"/>
  <c r="R76" i="23" s="1"/>
  <c r="E100" i="23"/>
  <c r="R100" i="23" s="1"/>
  <c r="K16" i="24"/>
  <c r="M58" i="24"/>
  <c r="N58" i="24" s="1"/>
  <c r="M42" i="24"/>
  <c r="N42" i="24" s="1"/>
  <c r="M26" i="24"/>
  <c r="N26" i="24" s="1"/>
  <c r="K10" i="24"/>
  <c r="K45" i="24"/>
  <c r="K29" i="24"/>
  <c r="M7" i="24"/>
  <c r="N7" i="24" s="1"/>
  <c r="M54" i="24"/>
  <c r="N54" i="24" s="1"/>
  <c r="M38" i="24"/>
  <c r="N38" i="24" s="1"/>
  <c r="K22" i="24"/>
  <c r="M6" i="24"/>
  <c r="N6" i="24" s="1"/>
  <c r="K57" i="24"/>
  <c r="K41" i="24"/>
  <c r="K25" i="24"/>
  <c r="K20" i="24"/>
  <c r="M34" i="24"/>
  <c r="N34" i="24" s="1"/>
  <c r="K12" i="24"/>
  <c r="K53" i="24"/>
  <c r="E94" i="23"/>
  <c r="R94" i="23" s="1"/>
  <c r="E78" i="23"/>
  <c r="R78" i="23" s="1"/>
  <c r="E62" i="23"/>
  <c r="R62" i="23" s="1"/>
  <c r="E46" i="23"/>
  <c r="R46" i="23" s="1"/>
  <c r="E30" i="23"/>
  <c r="R30" i="23" s="1"/>
  <c r="E14" i="23"/>
  <c r="R14" i="23" s="1"/>
  <c r="M103" i="24"/>
  <c r="N103" i="24" s="1"/>
  <c r="K98" i="24"/>
  <c r="M87" i="24"/>
  <c r="N87" i="24" s="1"/>
  <c r="K82" i="24"/>
  <c r="M96" i="24"/>
  <c r="N96" i="24" s="1"/>
  <c r="K91" i="24"/>
  <c r="K81" i="24"/>
  <c r="K101" i="24"/>
  <c r="K93" i="24"/>
  <c r="K85" i="24"/>
  <c r="M94" i="24"/>
  <c r="N94" i="24" s="1"/>
  <c r="M85" i="24"/>
  <c r="N85" i="24" s="1"/>
  <c r="K75" i="24"/>
  <c r="K70" i="24"/>
  <c r="M80" i="24"/>
  <c r="N80" i="24" s="1"/>
  <c r="K67" i="24"/>
  <c r="M89" i="24"/>
  <c r="N89" i="24" s="1"/>
  <c r="K69" i="24"/>
  <c r="K61" i="24"/>
  <c r="M55" i="24"/>
  <c r="N55" i="24" s="1"/>
  <c r="K50" i="24"/>
  <c r="M5" i="24"/>
  <c r="N5" i="24" s="1"/>
  <c r="Q5" i="24" s="1"/>
  <c r="M30" i="24"/>
  <c r="N30" i="24" s="1"/>
  <c r="K49" i="24"/>
  <c r="E106" i="23"/>
  <c r="R106" i="23" s="1"/>
  <c r="E90" i="23"/>
  <c r="R90" i="23" s="1"/>
  <c r="E74" i="23"/>
  <c r="R74" i="23" s="1"/>
  <c r="E58" i="23"/>
  <c r="R58" i="23" s="1"/>
  <c r="E42" i="23"/>
  <c r="R42" i="23" s="1"/>
  <c r="E26" i="23"/>
  <c r="R26" i="23" s="1"/>
  <c r="E9" i="23"/>
  <c r="R9" i="23" s="1"/>
  <c r="K102" i="24"/>
  <c r="M91" i="24"/>
  <c r="N91" i="24" s="1"/>
  <c r="K86" i="24"/>
  <c r="M100" i="24"/>
  <c r="N100" i="24" s="1"/>
  <c r="K95" i="24"/>
  <c r="M84" i="24"/>
  <c r="N84" i="24" s="1"/>
  <c r="M74" i="24"/>
  <c r="N74" i="24" s="1"/>
  <c r="K100" i="24"/>
  <c r="K92" i="24"/>
  <c r="K84" i="24"/>
  <c r="M75" i="24"/>
  <c r="N75" i="24" s="1"/>
  <c r="M102" i="24"/>
  <c r="N102" i="24" s="1"/>
  <c r="M93" i="24"/>
  <c r="N93" i="24" s="1"/>
  <c r="K80" i="24"/>
  <c r="M73" i="24"/>
  <c r="N73" i="24" s="1"/>
  <c r="M63" i="24"/>
  <c r="N63" i="24" s="1"/>
  <c r="M77" i="24"/>
  <c r="N77" i="24" s="1"/>
  <c r="K71" i="24"/>
  <c r="M105" i="24"/>
  <c r="N105" i="24" s="1"/>
  <c r="K68" i="24"/>
  <c r="M59" i="24"/>
  <c r="N59" i="24" s="1"/>
  <c r="K54" i="24"/>
  <c r="M50" i="24"/>
  <c r="N50" i="24" s="1"/>
  <c r="E102" i="23"/>
  <c r="R102" i="23" s="1"/>
  <c r="E70" i="23"/>
  <c r="R70" i="23" s="1"/>
  <c r="E38" i="23"/>
  <c r="R38" i="23" s="1"/>
  <c r="K8" i="24"/>
  <c r="M95" i="24"/>
  <c r="N95" i="24" s="1"/>
  <c r="K99" i="24"/>
  <c r="M88" i="24"/>
  <c r="N88" i="24" s="1"/>
  <c r="M78" i="24"/>
  <c r="N78" i="24" s="1"/>
  <c r="K97" i="24"/>
  <c r="M79" i="24"/>
  <c r="N79" i="24" s="1"/>
  <c r="M101" i="24"/>
  <c r="N101" i="24" s="1"/>
  <c r="K79" i="24"/>
  <c r="M67" i="24"/>
  <c r="N67" i="24" s="1"/>
  <c r="K58" i="24"/>
  <c r="M47" i="24"/>
  <c r="N47" i="24" s="1"/>
  <c r="M35" i="24"/>
  <c r="N35" i="24" s="1"/>
  <c r="K30" i="24"/>
  <c r="K72" i="24"/>
  <c r="M57" i="24"/>
  <c r="N57" i="24" s="1"/>
  <c r="K52" i="24"/>
  <c r="M41" i="24"/>
  <c r="N41" i="24" s="1"/>
  <c r="K36" i="24"/>
  <c r="M25" i="24"/>
  <c r="N25" i="24" s="1"/>
  <c r="K21" i="24"/>
  <c r="M10" i="24"/>
  <c r="N10" i="24" s="1"/>
  <c r="K23" i="24"/>
  <c r="M12" i="24"/>
  <c r="N12" i="24" s="1"/>
  <c r="K7" i="24"/>
  <c r="E101" i="23"/>
  <c r="R101" i="23" s="1"/>
  <c r="E85" i="23"/>
  <c r="R85" i="23" s="1"/>
  <c r="E69" i="23"/>
  <c r="R69" i="23" s="1"/>
  <c r="E53" i="23"/>
  <c r="R53" i="23" s="1"/>
  <c r="E37" i="23"/>
  <c r="R37" i="23" s="1"/>
  <c r="E21" i="23"/>
  <c r="R21" i="23" s="1"/>
  <c r="K5" i="24"/>
  <c r="M28" i="24"/>
  <c r="N28" i="24" s="1"/>
  <c r="M36" i="24"/>
  <c r="N36" i="24" s="1"/>
  <c r="M44" i="24"/>
  <c r="N44" i="24" s="1"/>
  <c r="M52" i="24"/>
  <c r="N52" i="24" s="1"/>
  <c r="M60" i="24"/>
  <c r="N60" i="24" s="1"/>
  <c r="K18" i="24"/>
  <c r="E86" i="23"/>
  <c r="R86" i="23" s="1"/>
  <c r="E22" i="23"/>
  <c r="R22" i="23" s="1"/>
  <c r="M104" i="24"/>
  <c r="N104" i="24" s="1"/>
  <c r="K83" i="24"/>
  <c r="K105" i="24"/>
  <c r="K74" i="24"/>
  <c r="M72" i="24"/>
  <c r="N72" i="24" s="1"/>
  <c r="M64" i="24"/>
  <c r="N64" i="24" s="1"/>
  <c r="K65" i="24"/>
  <c r="M43" i="24"/>
  <c r="N43" i="24" s="1"/>
  <c r="K60" i="24"/>
  <c r="M49" i="24"/>
  <c r="N49" i="24" s="1"/>
  <c r="K28" i="24"/>
  <c r="M62" i="24"/>
  <c r="N62" i="24" s="1"/>
  <c r="K13" i="24"/>
  <c r="M20" i="24"/>
  <c r="N20" i="24" s="1"/>
  <c r="E93" i="23"/>
  <c r="R93" i="23" s="1"/>
  <c r="E77" i="23"/>
  <c r="R77" i="23" s="1"/>
  <c r="E45" i="23"/>
  <c r="R45" i="23" s="1"/>
  <c r="E13" i="23"/>
  <c r="R13" i="23" s="1"/>
  <c r="M24" i="24"/>
  <c r="N24" i="24" s="1"/>
  <c r="M40" i="24"/>
  <c r="N40" i="24" s="1"/>
  <c r="M56" i="24"/>
  <c r="N56" i="24" s="1"/>
  <c r="K14" i="24"/>
  <c r="E82" i="23"/>
  <c r="R82" i="23" s="1"/>
  <c r="E50" i="23"/>
  <c r="R50" i="23" s="1"/>
  <c r="M92" i="24"/>
  <c r="N92" i="24" s="1"/>
  <c r="K104" i="24"/>
  <c r="M86" i="24"/>
  <c r="N86" i="24" s="1"/>
  <c r="K64" i="24"/>
  <c r="K42" i="24"/>
  <c r="K26" i="24"/>
  <c r="M53" i="24"/>
  <c r="N53" i="24" s="1"/>
  <c r="M37" i="24"/>
  <c r="N37" i="24" s="1"/>
  <c r="K17" i="24"/>
  <c r="M66" i="24"/>
  <c r="N66" i="24" s="1"/>
  <c r="M8" i="24"/>
  <c r="N8" i="24" s="1"/>
  <c r="E89" i="23"/>
  <c r="R89" i="23" s="1"/>
  <c r="E57" i="23"/>
  <c r="R57" i="23" s="1"/>
  <c r="E25" i="23"/>
  <c r="R25" i="23" s="1"/>
  <c r="M9" i="24"/>
  <c r="N9" i="24" s="1"/>
  <c r="M17" i="24"/>
  <c r="N17" i="24" s="1"/>
  <c r="K27" i="24"/>
  <c r="K43" i="24"/>
  <c r="M69" i="24"/>
  <c r="N69" i="24" s="1"/>
  <c r="M46" i="24"/>
  <c r="N46" i="24" s="1"/>
  <c r="E98" i="23"/>
  <c r="R98" i="23" s="1"/>
  <c r="E66" i="23"/>
  <c r="R66" i="23" s="1"/>
  <c r="E34" i="23"/>
  <c r="R34" i="23" s="1"/>
  <c r="K94" i="24"/>
  <c r="M83" i="24"/>
  <c r="N83" i="24" s="1"/>
  <c r="K87" i="24"/>
  <c r="K77" i="24"/>
  <c r="K96" i="24"/>
  <c r="K78" i="24"/>
  <c r="K76" i="24"/>
  <c r="K66" i="24"/>
  <c r="M81" i="24"/>
  <c r="N81" i="24" s="1"/>
  <c r="M68" i="24"/>
  <c r="N68" i="24" s="1"/>
  <c r="M98" i="24"/>
  <c r="N98" i="24" s="1"/>
  <c r="K73" i="24"/>
  <c r="K46" i="24"/>
  <c r="M39" i="24"/>
  <c r="N39" i="24" s="1"/>
  <c r="K34" i="24"/>
  <c r="M97" i="24"/>
  <c r="N97" i="24" s="1"/>
  <c r="K56" i="24"/>
  <c r="M45" i="24"/>
  <c r="N45" i="24" s="1"/>
  <c r="K40" i="24"/>
  <c r="M29" i="24"/>
  <c r="N29" i="24" s="1"/>
  <c r="K24" i="24"/>
  <c r="M70" i="24"/>
  <c r="N70" i="24" s="1"/>
  <c r="M14" i="24"/>
  <c r="N14" i="24" s="1"/>
  <c r="K9" i="24"/>
  <c r="M16" i="24"/>
  <c r="N16" i="24" s="1"/>
  <c r="K11" i="24"/>
  <c r="E97" i="23"/>
  <c r="R97" i="23" s="1"/>
  <c r="E81" i="23"/>
  <c r="R81" i="23" s="1"/>
  <c r="E65" i="23"/>
  <c r="R65" i="23" s="1"/>
  <c r="E49" i="23"/>
  <c r="R49" i="23" s="1"/>
  <c r="E33" i="23"/>
  <c r="R33" i="23" s="1"/>
  <c r="E17" i="23"/>
  <c r="R17" i="23" s="1"/>
  <c r="K6" i="24"/>
  <c r="M11" i="24"/>
  <c r="N11" i="24" s="1"/>
  <c r="M15" i="24"/>
  <c r="N15" i="24" s="1"/>
  <c r="M19" i="24"/>
  <c r="N19" i="24" s="1"/>
  <c r="M23" i="24"/>
  <c r="N23" i="24" s="1"/>
  <c r="K31" i="24"/>
  <c r="K39" i="24"/>
  <c r="K47" i="24"/>
  <c r="K55" i="24"/>
  <c r="M61" i="24"/>
  <c r="N61" i="24" s="1"/>
  <c r="K37" i="24"/>
  <c r="E54" i="23"/>
  <c r="R54" i="23" s="1"/>
  <c r="K90" i="24"/>
  <c r="K89" i="24"/>
  <c r="K62" i="24"/>
  <c r="M76" i="24"/>
  <c r="N76" i="24" s="1"/>
  <c r="M82" i="24"/>
  <c r="N82" i="24" s="1"/>
  <c r="K38" i="24"/>
  <c r="M27" i="24"/>
  <c r="N27" i="24" s="1"/>
  <c r="K44" i="24"/>
  <c r="M33" i="24"/>
  <c r="N33" i="24" s="1"/>
  <c r="M18" i="24"/>
  <c r="N18" i="24" s="1"/>
  <c r="K15" i="24"/>
  <c r="E10" i="23"/>
  <c r="R10" i="23" s="1"/>
  <c r="E61" i="23"/>
  <c r="R61" i="23" s="1"/>
  <c r="E29" i="23"/>
  <c r="R29" i="23" s="1"/>
  <c r="M32" i="24"/>
  <c r="N32" i="24" s="1"/>
  <c r="M48" i="24"/>
  <c r="N48" i="24" s="1"/>
  <c r="M65" i="24"/>
  <c r="N65" i="24" s="1"/>
  <c r="K33" i="24"/>
  <c r="E18" i="23"/>
  <c r="R18" i="23" s="1"/>
  <c r="M99" i="24"/>
  <c r="N99" i="24" s="1"/>
  <c r="K103" i="24"/>
  <c r="K88" i="24"/>
  <c r="M71" i="24"/>
  <c r="N71" i="24" s="1"/>
  <c r="K63" i="24"/>
  <c r="M51" i="24"/>
  <c r="N51" i="24" s="1"/>
  <c r="M31" i="24"/>
  <c r="N31" i="24" s="1"/>
  <c r="M90" i="24"/>
  <c r="N90" i="24" s="1"/>
  <c r="K48" i="24"/>
  <c r="K32" i="24"/>
  <c r="M22" i="24"/>
  <c r="N22" i="24" s="1"/>
  <c r="K19" i="24"/>
  <c r="E105" i="23"/>
  <c r="R105" i="23" s="1"/>
  <c r="E73" i="23"/>
  <c r="R73" i="23" s="1"/>
  <c r="E41" i="23"/>
  <c r="R41" i="23" s="1"/>
  <c r="E8" i="23"/>
  <c r="R8" i="23" s="1"/>
  <c r="M13" i="24"/>
  <c r="N13" i="24" s="1"/>
  <c r="M21" i="24"/>
  <c r="N21" i="24" s="1"/>
  <c r="K35" i="24"/>
  <c r="K51" i="24"/>
  <c r="K59" i="24"/>
  <c r="D9" i="23"/>
  <c r="F9" i="23" s="1"/>
  <c r="D13" i="23"/>
  <c r="I13" i="23" s="1"/>
  <c r="D17" i="23"/>
  <c r="I17" i="23" s="1"/>
  <c r="D21" i="23"/>
  <c r="D25" i="23"/>
  <c r="I25" i="23" s="1"/>
  <c r="D29" i="23"/>
  <c r="D33" i="23"/>
  <c r="F33" i="23" s="1"/>
  <c r="D37" i="23"/>
  <c r="D41" i="23"/>
  <c r="F41" i="23" s="1"/>
  <c r="D45" i="23"/>
  <c r="D49" i="23"/>
  <c r="I49" i="23" s="1"/>
  <c r="D10" i="23"/>
  <c r="I10" i="23" s="1"/>
  <c r="D14" i="23"/>
  <c r="I14" i="23" s="1"/>
  <c r="D18" i="23"/>
  <c r="D22" i="23"/>
  <c r="I22" i="23" s="1"/>
  <c r="D26" i="23"/>
  <c r="D30" i="23"/>
  <c r="I30" i="23" s="1"/>
  <c r="D34" i="23"/>
  <c r="D38" i="23"/>
  <c r="F38" i="23" s="1"/>
  <c r="D42" i="23"/>
  <c r="D46" i="23"/>
  <c r="I46" i="23" s="1"/>
  <c r="D50" i="23"/>
  <c r="D54" i="23"/>
  <c r="I54" i="23" s="1"/>
  <c r="D58" i="23"/>
  <c r="D62" i="23"/>
  <c r="F62" i="23" s="1"/>
  <c r="D66" i="23"/>
  <c r="D70" i="23"/>
  <c r="F70" i="23" s="1"/>
  <c r="D74" i="23"/>
  <c r="D78" i="23"/>
  <c r="F78" i="23" s="1"/>
  <c r="D82" i="23"/>
  <c r="D86" i="23"/>
  <c r="F86" i="23" s="1"/>
  <c r="D90" i="23"/>
  <c r="D94" i="23"/>
  <c r="I94" i="23" s="1"/>
  <c r="D98" i="23"/>
  <c r="F98" i="23" s="1"/>
  <c r="D102" i="23"/>
  <c r="I102" i="23" s="1"/>
  <c r="D106" i="23"/>
  <c r="F106" i="23" s="1"/>
  <c r="D16" i="23"/>
  <c r="F16" i="23" s="1"/>
  <c r="D24" i="23"/>
  <c r="D32" i="23"/>
  <c r="I32" i="23" s="1"/>
  <c r="D40" i="23"/>
  <c r="D48" i="23"/>
  <c r="F48" i="23" s="1"/>
  <c r="D55" i="23"/>
  <c r="D60" i="23"/>
  <c r="I60" i="23" s="1"/>
  <c r="D65" i="23"/>
  <c r="I65" i="23" s="1"/>
  <c r="D71" i="23"/>
  <c r="I71" i="23" s="1"/>
  <c r="D76" i="23"/>
  <c r="F76" i="23" s="1"/>
  <c r="D81" i="23"/>
  <c r="I81" i="23" s="1"/>
  <c r="D87" i="23"/>
  <c r="D92" i="23"/>
  <c r="I92" i="23" s="1"/>
  <c r="D97" i="23"/>
  <c r="D103" i="23"/>
  <c r="I103" i="23" s="1"/>
  <c r="D7" i="23"/>
  <c r="F7" i="23" s="1"/>
  <c r="D23" i="23"/>
  <c r="F23" i="23" s="1"/>
  <c r="D39" i="23"/>
  <c r="F39" i="23" s="1"/>
  <c r="D53" i="23"/>
  <c r="I53" i="23" s="1"/>
  <c r="D64" i="23"/>
  <c r="D75" i="23"/>
  <c r="F75" i="23" s="1"/>
  <c r="D85" i="23"/>
  <c r="D96" i="23"/>
  <c r="F96" i="23" s="1"/>
  <c r="D8" i="23"/>
  <c r="D11" i="23"/>
  <c r="F11" i="23" s="1"/>
  <c r="D19" i="23"/>
  <c r="D27" i="23"/>
  <c r="F27" i="23" s="1"/>
  <c r="D35" i="23"/>
  <c r="D43" i="23"/>
  <c r="F43" i="23" s="1"/>
  <c r="D51" i="23"/>
  <c r="D56" i="23"/>
  <c r="F56" i="23" s="1"/>
  <c r="D61" i="23"/>
  <c r="I61" i="23" s="1"/>
  <c r="D67" i="23"/>
  <c r="I67" i="23" s="1"/>
  <c r="D72" i="23"/>
  <c r="D77" i="23"/>
  <c r="I77" i="23" s="1"/>
  <c r="D83" i="23"/>
  <c r="D88" i="23"/>
  <c r="I88" i="23" s="1"/>
  <c r="D93" i="23"/>
  <c r="D99" i="23"/>
  <c r="F99" i="23" s="1"/>
  <c r="D104" i="23"/>
  <c r="D6" i="23"/>
  <c r="I6" i="23" s="1"/>
  <c r="D12" i="23"/>
  <c r="I12" i="23" s="1"/>
  <c r="D20" i="23"/>
  <c r="I20" i="23" s="1"/>
  <c r="D28" i="23"/>
  <c r="D36" i="23"/>
  <c r="F36" i="23" s="1"/>
  <c r="D44" i="23"/>
  <c r="F44" i="23" s="1"/>
  <c r="D52" i="23"/>
  <c r="I52" i="23" s="1"/>
  <c r="D57" i="23"/>
  <c r="D63" i="23"/>
  <c r="I63" i="23" s="1"/>
  <c r="D68" i="23"/>
  <c r="D73" i="23"/>
  <c r="I73" i="23" s="1"/>
  <c r="D79" i="23"/>
  <c r="F79" i="23" s="1"/>
  <c r="D84" i="23"/>
  <c r="I84" i="23" s="1"/>
  <c r="D89" i="23"/>
  <c r="F89" i="23" s="1"/>
  <c r="D95" i="23"/>
  <c r="I95" i="23" s="1"/>
  <c r="D100" i="23"/>
  <c r="D105" i="23"/>
  <c r="I105" i="23" s="1"/>
  <c r="D15" i="23"/>
  <c r="D31" i="23"/>
  <c r="F31" i="23" s="1"/>
  <c r="D47" i="23"/>
  <c r="D59" i="23"/>
  <c r="F59" i="23" s="1"/>
  <c r="D69" i="23"/>
  <c r="F69" i="23" s="1"/>
  <c r="D80" i="23"/>
  <c r="I80" i="23" s="1"/>
  <c r="D91" i="23"/>
  <c r="D101" i="23"/>
  <c r="I101" i="23" s="1"/>
  <c r="B10" i="19"/>
  <c r="D10" i="19" s="1"/>
  <c r="I16" i="8"/>
  <c r="J16" i="8" s="1"/>
  <c r="D149" i="2" s="1"/>
  <c r="B150" i="2" s="1"/>
  <c r="B187" i="2"/>
  <c r="B190" i="2" s="1"/>
  <c r="B11" i="19"/>
  <c r="D11" i="19" s="1"/>
  <c r="I4" i="8" s="1"/>
  <c r="J4" i="8" s="1"/>
  <c r="B205" i="2"/>
  <c r="B3" i="8"/>
  <c r="B159" i="8" s="1"/>
  <c r="B158" i="8" s="1"/>
  <c r="B157" i="8" s="1"/>
  <c r="B156" i="8" s="1"/>
  <c r="B155" i="8" s="1"/>
  <c r="B154" i="8" s="1"/>
  <c r="B153" i="8" s="1"/>
  <c r="B152" i="8" s="1"/>
  <c r="B151" i="8" s="1"/>
  <c r="B150" i="8" s="1"/>
  <c r="B149" i="8" s="1"/>
  <c r="B148" i="8" s="1"/>
  <c r="B147" i="8" s="1"/>
  <c r="B146" i="8" s="1"/>
  <c r="B145" i="8" s="1"/>
  <c r="B144" i="8" s="1"/>
  <c r="B143" i="8" s="1"/>
  <c r="B142" i="8" s="1"/>
  <c r="B141" i="8" s="1"/>
  <c r="B140" i="8" s="1"/>
  <c r="B139" i="8" s="1"/>
  <c r="B138" i="8" s="1"/>
  <c r="B137" i="8" s="1"/>
  <c r="B136" i="8" s="1"/>
  <c r="B135" i="8" s="1"/>
  <c r="B134" i="8" s="1"/>
  <c r="B133" i="8" s="1"/>
  <c r="B132" i="8" s="1"/>
  <c r="B131" i="8" s="1"/>
  <c r="B130" i="8" s="1"/>
  <c r="B129" i="8" s="1"/>
  <c r="B128" i="8" s="1"/>
  <c r="B127" i="8" s="1"/>
  <c r="B126" i="8" s="1"/>
  <c r="B125" i="8" s="1"/>
  <c r="B124" i="8" s="1"/>
  <c r="B123" i="8" s="1"/>
  <c r="B122" i="8" s="1"/>
  <c r="B121" i="8" s="1"/>
  <c r="B120" i="8" s="1"/>
  <c r="B119" i="8" s="1"/>
  <c r="B118" i="8" s="1"/>
  <c r="B117" i="8" s="1"/>
  <c r="B116" i="8" s="1"/>
  <c r="B115" i="8" s="1"/>
  <c r="B114" i="8" s="1"/>
  <c r="B113" i="8" s="1"/>
  <c r="B112" i="8" s="1"/>
  <c r="B111" i="8" s="1"/>
  <c r="B110" i="8" s="1"/>
  <c r="B109" i="8" s="1"/>
  <c r="B108" i="8" s="1"/>
  <c r="B107" i="8" s="1"/>
  <c r="B106" i="8" s="1"/>
  <c r="B105" i="8" s="1"/>
  <c r="B104" i="8" s="1"/>
  <c r="B103" i="8" s="1"/>
  <c r="B102" i="8" s="1"/>
  <c r="B101" i="8" s="1"/>
  <c r="B100" i="8" s="1"/>
  <c r="B99" i="8" s="1"/>
  <c r="B98" i="8" s="1"/>
  <c r="B97" i="8" s="1"/>
  <c r="B96" i="8" s="1"/>
  <c r="B95" i="8" s="1"/>
  <c r="B94" i="8" s="1"/>
  <c r="B93" i="8" s="1"/>
  <c r="B92" i="8" s="1"/>
  <c r="B91" i="8" s="1"/>
  <c r="B90" i="8" s="1"/>
  <c r="B89" i="8" s="1"/>
  <c r="B88" i="8" s="1"/>
  <c r="B87" i="8" s="1"/>
  <c r="B86" i="8" s="1"/>
  <c r="B85" i="8" s="1"/>
  <c r="B84" i="8" s="1"/>
  <c r="B83" i="8" s="1"/>
  <c r="B82" i="8" s="1"/>
  <c r="B81" i="8" s="1"/>
  <c r="B80" i="8" s="1"/>
  <c r="B79" i="8" s="1"/>
  <c r="B78" i="8" s="1"/>
  <c r="B77" i="8" s="1"/>
  <c r="B76" i="8" s="1"/>
  <c r="B75" i="8" s="1"/>
  <c r="B74" i="8" s="1"/>
  <c r="B73" i="8" s="1"/>
  <c r="B72" i="8" s="1"/>
  <c r="B71" i="8" s="1"/>
  <c r="B70" i="8" s="1"/>
  <c r="B69" i="8" s="1"/>
  <c r="B68" i="8" s="1"/>
  <c r="B67" i="8" s="1"/>
  <c r="B66" i="8" s="1"/>
  <c r="B65" i="8" s="1"/>
  <c r="B64" i="8" s="1"/>
  <c r="B63" i="8" s="1"/>
  <c r="B62" i="8" s="1"/>
  <c r="B61" i="8" s="1"/>
  <c r="B60" i="8" s="1"/>
  <c r="B59" i="8" s="1"/>
  <c r="B58" i="8" s="1"/>
  <c r="B57" i="8" s="1"/>
  <c r="B56" i="8" s="1"/>
  <c r="B55" i="8" s="1"/>
  <c r="B54" i="8" s="1"/>
  <c r="B53" i="8" s="1"/>
  <c r="B52" i="8" s="1"/>
  <c r="B51" i="8" s="1"/>
  <c r="B50" i="8" s="1"/>
  <c r="B49" i="8" s="1"/>
  <c r="B48" i="8" s="1"/>
  <c r="B47" i="8" s="1"/>
  <c r="B46" i="8" s="1"/>
  <c r="B45" i="8" s="1"/>
  <c r="B44" i="8" s="1"/>
  <c r="B43" i="8" s="1"/>
  <c r="B42" i="8" s="1"/>
  <c r="B41" i="8" s="1"/>
  <c r="B40" i="8" s="1"/>
  <c r="B39" i="8" s="1"/>
  <c r="B38" i="8" s="1"/>
  <c r="B37" i="8" s="1"/>
  <c r="B36" i="8" s="1"/>
  <c r="B35" i="8" s="1"/>
  <c r="B34" i="8" s="1"/>
  <c r="B33" i="8" s="1"/>
  <c r="B32" i="8" s="1"/>
  <c r="B31" i="8" s="1"/>
  <c r="B30" i="8" s="1"/>
  <c r="B29" i="8" s="1"/>
  <c r="B28" i="8" s="1"/>
  <c r="B27" i="8" s="1"/>
  <c r="B26" i="8" s="1"/>
  <c r="B25" i="8" s="1"/>
  <c r="B24" i="8" s="1"/>
  <c r="B23" i="8" s="1"/>
  <c r="B22" i="8" s="1"/>
  <c r="B21" i="8" s="1"/>
  <c r="B20" i="8" s="1"/>
  <c r="B19" i="8" s="1"/>
  <c r="B18" i="8" s="1"/>
  <c r="B17" i="8" s="1"/>
  <c r="B16" i="8" s="1"/>
  <c r="B15" i="8" s="1"/>
  <c r="B14" i="8" s="1"/>
  <c r="B13" i="8" s="1"/>
  <c r="B12" i="8" s="1"/>
  <c r="B11" i="8" s="1"/>
  <c r="B10" i="8" s="1"/>
  <c r="B9" i="8" s="1"/>
  <c r="B8" i="8" s="1"/>
  <c r="B7" i="8" s="1"/>
  <c r="B6" i="8" s="1"/>
  <c r="B4" i="8" s="1"/>
  <c r="D31" i="16"/>
  <c r="D3" i="8"/>
  <c r="D159" i="8" s="1"/>
  <c r="D158" i="8" s="1"/>
  <c r="D157" i="8" s="1"/>
  <c r="D156" i="8" s="1"/>
  <c r="D155" i="8" s="1"/>
  <c r="D154" i="8" s="1"/>
  <c r="D153" i="8" s="1"/>
  <c r="D152" i="8" s="1"/>
  <c r="D151" i="8" s="1"/>
  <c r="D150" i="8" s="1"/>
  <c r="D149" i="8" s="1"/>
  <c r="D148" i="8" s="1"/>
  <c r="D147" i="8" s="1"/>
  <c r="D146" i="8" s="1"/>
  <c r="D145" i="8" s="1"/>
  <c r="D144" i="8" s="1"/>
  <c r="D143" i="8" s="1"/>
  <c r="D142" i="8" s="1"/>
  <c r="D141" i="8" s="1"/>
  <c r="D140" i="8" s="1"/>
  <c r="D139" i="8" s="1"/>
  <c r="D138" i="8" s="1"/>
  <c r="D137" i="8" s="1"/>
  <c r="D136" i="8" s="1"/>
  <c r="D135" i="8" s="1"/>
  <c r="D134" i="8" s="1"/>
  <c r="D133" i="8" s="1"/>
  <c r="D132" i="8" s="1"/>
  <c r="D131" i="8" s="1"/>
  <c r="D130" i="8" s="1"/>
  <c r="D129" i="8" s="1"/>
  <c r="D128" i="8" s="1"/>
  <c r="D127" i="8" s="1"/>
  <c r="D126" i="8" s="1"/>
  <c r="D125" i="8" s="1"/>
  <c r="D124" i="8" s="1"/>
  <c r="D123" i="8" s="1"/>
  <c r="D122" i="8" s="1"/>
  <c r="D121" i="8" s="1"/>
  <c r="D120" i="8" s="1"/>
  <c r="D119" i="8" s="1"/>
  <c r="D118" i="8" s="1"/>
  <c r="D117" i="8" s="1"/>
  <c r="D116" i="8" s="1"/>
  <c r="D115" i="8" s="1"/>
  <c r="D114" i="8" s="1"/>
  <c r="D113" i="8" s="1"/>
  <c r="D112" i="8" s="1"/>
  <c r="D111" i="8" s="1"/>
  <c r="D110" i="8" s="1"/>
  <c r="D109" i="8" s="1"/>
  <c r="D108" i="8" s="1"/>
  <c r="D107" i="8" s="1"/>
  <c r="D106" i="8" s="1"/>
  <c r="D105" i="8" s="1"/>
  <c r="D104" i="8" s="1"/>
  <c r="D103" i="8" s="1"/>
  <c r="D102" i="8" s="1"/>
  <c r="D101" i="8" s="1"/>
  <c r="D100" i="8" s="1"/>
  <c r="D99" i="8" s="1"/>
  <c r="D98" i="8" s="1"/>
  <c r="D97" i="8" s="1"/>
  <c r="D96" i="8" s="1"/>
  <c r="D95" i="8" s="1"/>
  <c r="D94" i="8" s="1"/>
  <c r="D93" i="8" s="1"/>
  <c r="D92" i="8" s="1"/>
  <c r="D91" i="8" s="1"/>
  <c r="D90" i="8" s="1"/>
  <c r="D89" i="8" s="1"/>
  <c r="D88" i="8" s="1"/>
  <c r="D87" i="8" s="1"/>
  <c r="D86" i="8" s="1"/>
  <c r="D85" i="8" s="1"/>
  <c r="D84" i="8" s="1"/>
  <c r="D83" i="8" s="1"/>
  <c r="D82" i="8" s="1"/>
  <c r="D81" i="8" s="1"/>
  <c r="D80" i="8" s="1"/>
  <c r="D79" i="8" s="1"/>
  <c r="D78" i="8" s="1"/>
  <c r="D77" i="8" s="1"/>
  <c r="D76" i="8" s="1"/>
  <c r="D75" i="8" s="1"/>
  <c r="D74" i="8" s="1"/>
  <c r="D73" i="8" s="1"/>
  <c r="D72" i="8" s="1"/>
  <c r="D71" i="8" s="1"/>
  <c r="D70" i="8" s="1"/>
  <c r="D69" i="8" s="1"/>
  <c r="D68" i="8" s="1"/>
  <c r="D67" i="8" s="1"/>
  <c r="D66" i="8" s="1"/>
  <c r="D65" i="8" s="1"/>
  <c r="D64" i="8" s="1"/>
  <c r="D63" i="8" s="1"/>
  <c r="D62" i="8" s="1"/>
  <c r="D61" i="8" s="1"/>
  <c r="D60" i="8" s="1"/>
  <c r="D59" i="8" s="1"/>
  <c r="D58" i="8" s="1"/>
  <c r="D57" i="8" s="1"/>
  <c r="D56" i="8" s="1"/>
  <c r="D55" i="8" s="1"/>
  <c r="D54" i="8" s="1"/>
  <c r="D53" i="8" s="1"/>
  <c r="D52" i="8" s="1"/>
  <c r="D51" i="8" s="1"/>
  <c r="D50" i="8" s="1"/>
  <c r="D49" i="8" s="1"/>
  <c r="D48" i="8" s="1"/>
  <c r="D47" i="8" s="1"/>
  <c r="D46" i="8" s="1"/>
  <c r="D45" i="8" s="1"/>
  <c r="D44" i="8" s="1"/>
  <c r="D43" i="8" s="1"/>
  <c r="D42" i="8" s="1"/>
  <c r="D41" i="8" s="1"/>
  <c r="D40" i="8" s="1"/>
  <c r="D39" i="8" s="1"/>
  <c r="D38" i="8" s="1"/>
  <c r="D37" i="8" s="1"/>
  <c r="D36" i="8" s="1"/>
  <c r="D35" i="8" s="1"/>
  <c r="D34" i="8" s="1"/>
  <c r="D33" i="8" s="1"/>
  <c r="D32" i="8" s="1"/>
  <c r="D31" i="8" s="1"/>
  <c r="D30" i="8" s="1"/>
  <c r="D29" i="8" s="1"/>
  <c r="D28" i="8" s="1"/>
  <c r="D27" i="8" s="1"/>
  <c r="D26" i="8" s="1"/>
  <c r="D25" i="8" s="1"/>
  <c r="D24" i="8" s="1"/>
  <c r="D23" i="8" s="1"/>
  <c r="D22" i="8" s="1"/>
  <c r="D21" i="8" s="1"/>
  <c r="D20" i="8" s="1"/>
  <c r="D19" i="8" s="1"/>
  <c r="D18" i="8" s="1"/>
  <c r="D17" i="8" s="1"/>
  <c r="D16" i="8" s="1"/>
  <c r="D15" i="8" s="1"/>
  <c r="D14" i="8" s="1"/>
  <c r="D13" i="8" s="1"/>
  <c r="D12" i="8" s="1"/>
  <c r="D11" i="8" s="1"/>
  <c r="D10" i="8" s="1"/>
  <c r="D9" i="8" s="1"/>
  <c r="D8" i="8" s="1"/>
  <c r="D7" i="8" s="1"/>
  <c r="D6" i="8" s="1"/>
  <c r="D4" i="8" s="1"/>
  <c r="E159" i="8"/>
  <c r="E158" i="8" s="1"/>
  <c r="E157" i="8" s="1"/>
  <c r="E156" i="8" s="1"/>
  <c r="E155" i="8" s="1"/>
  <c r="E154" i="8" s="1"/>
  <c r="E153" i="8" s="1"/>
  <c r="E152" i="8" s="1"/>
  <c r="E151" i="8" s="1"/>
  <c r="E150" i="8" s="1"/>
  <c r="E149" i="8" s="1"/>
  <c r="E148" i="8" s="1"/>
  <c r="E147" i="8" s="1"/>
  <c r="E146" i="8" s="1"/>
  <c r="E145" i="8" s="1"/>
  <c r="E144" i="8" s="1"/>
  <c r="E143" i="8" s="1"/>
  <c r="E142" i="8" s="1"/>
  <c r="E141" i="8" s="1"/>
  <c r="E140" i="8" s="1"/>
  <c r="E139" i="8" s="1"/>
  <c r="E138" i="8" s="1"/>
  <c r="E137" i="8" s="1"/>
  <c r="E136" i="8" s="1"/>
  <c r="E135" i="8" s="1"/>
  <c r="E134" i="8" s="1"/>
  <c r="E133" i="8" s="1"/>
  <c r="E132" i="8" s="1"/>
  <c r="E131" i="8" s="1"/>
  <c r="E130" i="8" s="1"/>
  <c r="E129" i="8" s="1"/>
  <c r="E128" i="8" s="1"/>
  <c r="E127" i="8" s="1"/>
  <c r="E126" i="8" s="1"/>
  <c r="E125" i="8" s="1"/>
  <c r="E124" i="8" s="1"/>
  <c r="E123" i="8" s="1"/>
  <c r="E122" i="8" s="1"/>
  <c r="E121" i="8" s="1"/>
  <c r="E120" i="8" s="1"/>
  <c r="E119" i="8" s="1"/>
  <c r="E118" i="8" s="1"/>
  <c r="E117" i="8" s="1"/>
  <c r="E116" i="8" s="1"/>
  <c r="E115" i="8" s="1"/>
  <c r="E114" i="8" s="1"/>
  <c r="E113" i="8" s="1"/>
  <c r="E112" i="8" s="1"/>
  <c r="E111" i="8" s="1"/>
  <c r="E110" i="8" s="1"/>
  <c r="E109" i="8" s="1"/>
  <c r="E108" i="8" s="1"/>
  <c r="E107" i="8" s="1"/>
  <c r="E106" i="8" s="1"/>
  <c r="E105" i="8" s="1"/>
  <c r="E104" i="8" s="1"/>
  <c r="E103" i="8" s="1"/>
  <c r="E102" i="8" s="1"/>
  <c r="E101" i="8" s="1"/>
  <c r="E100" i="8" s="1"/>
  <c r="E99" i="8" s="1"/>
  <c r="E98" i="8" s="1"/>
  <c r="E97" i="8" s="1"/>
  <c r="E96" i="8" s="1"/>
  <c r="E95" i="8" s="1"/>
  <c r="E94" i="8" s="1"/>
  <c r="E93" i="8" s="1"/>
  <c r="E92" i="8" s="1"/>
  <c r="E91" i="8" s="1"/>
  <c r="E90" i="8" s="1"/>
  <c r="E89" i="8" s="1"/>
  <c r="E88" i="8" s="1"/>
  <c r="E87" i="8" s="1"/>
  <c r="E86" i="8" s="1"/>
  <c r="E85" i="8" s="1"/>
  <c r="E84" i="8" s="1"/>
  <c r="E83" i="8" s="1"/>
  <c r="E82" i="8" s="1"/>
  <c r="E81" i="8" s="1"/>
  <c r="E80" i="8" s="1"/>
  <c r="E79" i="8" s="1"/>
  <c r="E78" i="8" s="1"/>
  <c r="E77" i="8" s="1"/>
  <c r="E76" i="8" s="1"/>
  <c r="E75" i="8" s="1"/>
  <c r="E74" i="8" s="1"/>
  <c r="E73" i="8" s="1"/>
  <c r="E72" i="8" s="1"/>
  <c r="E71" i="8" s="1"/>
  <c r="E70" i="8" s="1"/>
  <c r="E69" i="8" s="1"/>
  <c r="E68" i="8" s="1"/>
  <c r="E67" i="8" s="1"/>
  <c r="E66" i="8" s="1"/>
  <c r="E65" i="8" s="1"/>
  <c r="E64" i="8" s="1"/>
  <c r="E63" i="8" s="1"/>
  <c r="E62" i="8" s="1"/>
  <c r="E61" i="8" s="1"/>
  <c r="E60" i="8" s="1"/>
  <c r="E59" i="8" s="1"/>
  <c r="E58" i="8" s="1"/>
  <c r="E57" i="8" s="1"/>
  <c r="E56" i="8" s="1"/>
  <c r="E55" i="8" s="1"/>
  <c r="E54" i="8" s="1"/>
  <c r="E53" i="8" s="1"/>
  <c r="E52" i="8" s="1"/>
  <c r="E51" i="8" s="1"/>
  <c r="E50" i="8" s="1"/>
  <c r="E49" i="8" s="1"/>
  <c r="E48" i="8" s="1"/>
  <c r="E47" i="8" s="1"/>
  <c r="E46" i="8" s="1"/>
  <c r="E45" i="8" s="1"/>
  <c r="E44" i="8" s="1"/>
  <c r="E43" i="8" s="1"/>
  <c r="E42" i="8" s="1"/>
  <c r="E41" i="8" s="1"/>
  <c r="E40" i="8" s="1"/>
  <c r="E39" i="8" s="1"/>
  <c r="E38" i="8" s="1"/>
  <c r="E37" i="8" s="1"/>
  <c r="E36" i="8" s="1"/>
  <c r="E35" i="8" s="1"/>
  <c r="E34" i="8" s="1"/>
  <c r="E33" i="8" s="1"/>
  <c r="E32" i="8" s="1"/>
  <c r="E31" i="8" s="1"/>
  <c r="E30" i="8" s="1"/>
  <c r="E29" i="8" s="1"/>
  <c r="E28" i="8" s="1"/>
  <c r="E27" i="8" s="1"/>
  <c r="E26" i="8" s="1"/>
  <c r="E25" i="8" s="1"/>
  <c r="E24" i="8" s="1"/>
  <c r="E23" i="8" s="1"/>
  <c r="E22" i="8" s="1"/>
  <c r="E21" i="8" s="1"/>
  <c r="E20" i="8" s="1"/>
  <c r="E19" i="8" s="1"/>
  <c r="E18" i="8" s="1"/>
  <c r="E17" i="8" s="1"/>
  <c r="E16" i="8" s="1"/>
  <c r="E15" i="8" s="1"/>
  <c r="E14" i="8" s="1"/>
  <c r="E13" i="8" s="1"/>
  <c r="E12" i="8" s="1"/>
  <c r="E11" i="8" s="1"/>
  <c r="E10" i="8" s="1"/>
  <c r="E9" i="8" s="1"/>
  <c r="E8" i="8" s="1"/>
  <c r="E7" i="8" s="1"/>
  <c r="E6" i="8" s="1"/>
  <c r="E4" i="8" s="1"/>
  <c r="B206" i="2"/>
  <c r="S53" i="2"/>
  <c r="D33" i="16" s="1"/>
  <c r="B200" i="2"/>
  <c r="I50" i="2"/>
  <c r="C3" i="8"/>
  <c r="C159" i="8" s="1"/>
  <c r="C158" i="8" s="1"/>
  <c r="G35" i="16"/>
  <c r="A200" i="2"/>
  <c r="F27" i="1"/>
  <c r="B9" i="19"/>
  <c r="D9" i="19" s="1"/>
  <c r="B17" i="19"/>
  <c r="D17" i="19" s="1"/>
  <c r="B189" i="2"/>
  <c r="B188" i="2"/>
  <c r="B13" i="2"/>
  <c r="L14" i="1" l="1"/>
  <c r="D61" i="2"/>
  <c r="N131" i="25"/>
  <c r="O131" i="25" s="1"/>
  <c r="Q131" i="25" s="1"/>
  <c r="BI131" i="25"/>
  <c r="L116" i="25"/>
  <c r="BI116" i="25"/>
  <c r="L164" i="25"/>
  <c r="BI164" i="25"/>
  <c r="N157" i="25"/>
  <c r="O157" i="25" s="1"/>
  <c r="R157" i="25" s="1"/>
  <c r="BI157" i="25"/>
  <c r="N189" i="25"/>
  <c r="O189" i="25" s="1"/>
  <c r="R189" i="25" s="1"/>
  <c r="BI189" i="25"/>
  <c r="N138" i="25"/>
  <c r="O138" i="25" s="1"/>
  <c r="R138" i="25" s="1"/>
  <c r="BI138" i="25"/>
  <c r="L143" i="25"/>
  <c r="BI143" i="25"/>
  <c r="N183" i="25"/>
  <c r="O183" i="25" s="1"/>
  <c r="Q183" i="25" s="1"/>
  <c r="BI183" i="25"/>
  <c r="L120" i="25"/>
  <c r="BI120" i="25"/>
  <c r="L136" i="25"/>
  <c r="BI136" i="25"/>
  <c r="N152" i="25"/>
  <c r="O152" i="25" s="1"/>
  <c r="Q152" i="25" s="1"/>
  <c r="BI152" i="25"/>
  <c r="L168" i="25"/>
  <c r="BI168" i="25"/>
  <c r="N184" i="25"/>
  <c r="O184" i="25" s="1"/>
  <c r="Q184" i="25" s="1"/>
  <c r="BI184" i="25"/>
  <c r="N200" i="25"/>
  <c r="O200" i="25" s="1"/>
  <c r="Q200" i="25" s="1"/>
  <c r="BI200" i="25"/>
  <c r="N139" i="25"/>
  <c r="O139" i="25" s="1"/>
  <c r="R139" i="25" s="1"/>
  <c r="BI139" i="25"/>
  <c r="L191" i="25"/>
  <c r="BI191" i="25"/>
  <c r="N113" i="25"/>
  <c r="O113" i="25" s="1"/>
  <c r="Q113" i="25" s="1"/>
  <c r="BI113" i="25"/>
  <c r="L129" i="25"/>
  <c r="BI129" i="25"/>
  <c r="N145" i="25"/>
  <c r="O145" i="25" s="1"/>
  <c r="R145" i="25" s="1"/>
  <c r="BI145" i="25"/>
  <c r="N177" i="25"/>
  <c r="O177" i="25" s="1"/>
  <c r="R177" i="25" s="1"/>
  <c r="BI177" i="25"/>
  <c r="L193" i="25"/>
  <c r="BI193" i="25"/>
  <c r="L209" i="25"/>
  <c r="BI209" i="25"/>
  <c r="L147" i="25"/>
  <c r="BI147" i="25"/>
  <c r="N207" i="25"/>
  <c r="O207" i="25" s="1"/>
  <c r="Q207" i="25" s="1"/>
  <c r="BI207" i="25"/>
  <c r="N126" i="25"/>
  <c r="O126" i="25" s="1"/>
  <c r="R126" i="25" s="1"/>
  <c r="BI126" i="25"/>
  <c r="N142" i="25"/>
  <c r="O142" i="25" s="1"/>
  <c r="Q142" i="25" s="1"/>
  <c r="BI142" i="25"/>
  <c r="N158" i="25"/>
  <c r="BI158" i="25"/>
  <c r="L174" i="25"/>
  <c r="BI174" i="25"/>
  <c r="N190" i="25"/>
  <c r="O190" i="25" s="1"/>
  <c r="Q190" i="25" s="1"/>
  <c r="BI190" i="25"/>
  <c r="L206" i="25"/>
  <c r="BI206" i="25"/>
  <c r="L115" i="25"/>
  <c r="BI115" i="25"/>
  <c r="N151" i="25"/>
  <c r="O151" i="25" s="1"/>
  <c r="R151" i="25" s="1"/>
  <c r="BI151" i="25"/>
  <c r="L199" i="25"/>
  <c r="BI199" i="25"/>
  <c r="N124" i="25"/>
  <c r="O124" i="25" s="1"/>
  <c r="Q124" i="25" s="1"/>
  <c r="BI124" i="25"/>
  <c r="L140" i="25"/>
  <c r="BI140" i="25"/>
  <c r="L156" i="25"/>
  <c r="BI156" i="25"/>
  <c r="N172" i="25"/>
  <c r="O172" i="25" s="1"/>
  <c r="R172" i="25" s="1"/>
  <c r="BI172" i="25"/>
  <c r="N188" i="25"/>
  <c r="O188" i="25" s="1"/>
  <c r="Q188" i="25" s="1"/>
  <c r="BI188" i="25"/>
  <c r="N204" i="25"/>
  <c r="O204" i="25" s="1"/>
  <c r="R204" i="25" s="1"/>
  <c r="BI204" i="25"/>
  <c r="L159" i="25"/>
  <c r="BI159" i="25"/>
  <c r="N195" i="25"/>
  <c r="O195" i="25" s="1"/>
  <c r="Q195" i="25" s="1"/>
  <c r="BI195" i="25"/>
  <c r="N117" i="25"/>
  <c r="O117" i="25" s="1"/>
  <c r="Q117" i="25" s="1"/>
  <c r="BI117" i="25"/>
  <c r="N133" i="25"/>
  <c r="O133" i="25" s="1"/>
  <c r="R133" i="25" s="1"/>
  <c r="BI133" i="25"/>
  <c r="L149" i="25"/>
  <c r="BI149" i="25"/>
  <c r="N165" i="25"/>
  <c r="O165" i="25" s="1"/>
  <c r="R165" i="25" s="1"/>
  <c r="BI165" i="25"/>
  <c r="N181" i="25"/>
  <c r="O181" i="25" s="1"/>
  <c r="Q181" i="25" s="1"/>
  <c r="BI181" i="25"/>
  <c r="N197" i="25"/>
  <c r="O197" i="25" s="1"/>
  <c r="Q197" i="25" s="1"/>
  <c r="BI197" i="25"/>
  <c r="L111" i="25"/>
  <c r="BI111" i="25"/>
  <c r="N155" i="25"/>
  <c r="O155" i="25" s="1"/>
  <c r="Q155" i="25" s="1"/>
  <c r="BI155" i="25"/>
  <c r="L114" i="25"/>
  <c r="BI114" i="25"/>
  <c r="L130" i="25"/>
  <c r="BI130" i="25"/>
  <c r="N146" i="25"/>
  <c r="O146" i="25" s="1"/>
  <c r="Q146" i="25" s="1"/>
  <c r="BI146" i="25"/>
  <c r="N162" i="25"/>
  <c r="O162" i="25" s="1"/>
  <c r="Q162" i="25" s="1"/>
  <c r="BI162" i="25"/>
  <c r="L178" i="25"/>
  <c r="BI178" i="25"/>
  <c r="L194" i="25"/>
  <c r="BI194" i="25"/>
  <c r="L210" i="25"/>
  <c r="BI210" i="25"/>
  <c r="N171" i="25"/>
  <c r="O171" i="25" s="1"/>
  <c r="R171" i="25" s="1"/>
  <c r="BI171" i="25"/>
  <c r="L132" i="25"/>
  <c r="BI132" i="25"/>
  <c r="N148" i="25"/>
  <c r="O148" i="25" s="1"/>
  <c r="Q148" i="25" s="1"/>
  <c r="BI148" i="25"/>
  <c r="N180" i="25"/>
  <c r="O180" i="25" s="1"/>
  <c r="R180" i="25" s="1"/>
  <c r="BI180" i="25"/>
  <c r="L196" i="25"/>
  <c r="BI196" i="25"/>
  <c r="N127" i="25"/>
  <c r="O127" i="25" s="1"/>
  <c r="Q127" i="25" s="1"/>
  <c r="BI127" i="25"/>
  <c r="L187" i="25"/>
  <c r="BI187" i="25"/>
  <c r="N125" i="25"/>
  <c r="O125" i="25" s="1"/>
  <c r="Q125" i="25" s="1"/>
  <c r="BI125" i="25"/>
  <c r="N141" i="25"/>
  <c r="O141" i="25" s="1"/>
  <c r="R141" i="25" s="1"/>
  <c r="BI141" i="25"/>
  <c r="N173" i="25"/>
  <c r="O173" i="25" s="1"/>
  <c r="R173" i="25" s="1"/>
  <c r="BI173" i="25"/>
  <c r="N205" i="25"/>
  <c r="O205" i="25" s="1"/>
  <c r="Q205" i="25" s="1"/>
  <c r="BI205" i="25"/>
  <c r="L135" i="25"/>
  <c r="BI135" i="25"/>
  <c r="L179" i="25"/>
  <c r="BI179" i="25"/>
  <c r="N122" i="25"/>
  <c r="O122" i="25" s="1"/>
  <c r="R122" i="25" s="1"/>
  <c r="BI122" i="25"/>
  <c r="L154" i="25"/>
  <c r="BI154" i="25"/>
  <c r="N170" i="25"/>
  <c r="O170" i="25" s="1"/>
  <c r="R170" i="25" s="1"/>
  <c r="BI170" i="25"/>
  <c r="L186" i="25"/>
  <c r="BI186" i="25"/>
  <c r="N202" i="25"/>
  <c r="O202" i="25" s="1"/>
  <c r="R202" i="25" s="1"/>
  <c r="BI202" i="25"/>
  <c r="L161" i="25"/>
  <c r="BI161" i="25"/>
  <c r="L123" i="25"/>
  <c r="BI123" i="25"/>
  <c r="N163" i="25"/>
  <c r="O163" i="25" s="1"/>
  <c r="Q163" i="25" s="1"/>
  <c r="BI163" i="25"/>
  <c r="L112" i="25"/>
  <c r="BI112" i="25"/>
  <c r="N128" i="25"/>
  <c r="O128" i="25" s="1"/>
  <c r="Q128" i="25" s="1"/>
  <c r="BI128" i="25"/>
  <c r="L144" i="25"/>
  <c r="BI144" i="25"/>
  <c r="L160" i="25"/>
  <c r="BI160" i="25"/>
  <c r="N176" i="25"/>
  <c r="O176" i="25" s="1"/>
  <c r="R176" i="25" s="1"/>
  <c r="BI176" i="25"/>
  <c r="L192" i="25"/>
  <c r="BI192" i="25"/>
  <c r="N208" i="25"/>
  <c r="O208" i="25" s="1"/>
  <c r="Q208" i="25" s="1"/>
  <c r="BI208" i="25"/>
  <c r="L175" i="25"/>
  <c r="BI175" i="25"/>
  <c r="N203" i="25"/>
  <c r="O203" i="25" s="1"/>
  <c r="Q203" i="25" s="1"/>
  <c r="BI203" i="25"/>
  <c r="N121" i="25"/>
  <c r="O121" i="25" s="1"/>
  <c r="Q121" i="25" s="1"/>
  <c r="BI121" i="25"/>
  <c r="L137" i="25"/>
  <c r="BI137" i="25"/>
  <c r="L153" i="25"/>
  <c r="BI153" i="25"/>
  <c r="L169" i="25"/>
  <c r="BI169" i="25"/>
  <c r="L185" i="25"/>
  <c r="BI185" i="25"/>
  <c r="L201" i="25"/>
  <c r="BI201" i="25"/>
  <c r="L119" i="25"/>
  <c r="BI119" i="25"/>
  <c r="L167" i="25"/>
  <c r="BI167" i="25"/>
  <c r="N118" i="25"/>
  <c r="O118" i="25" s="1"/>
  <c r="R118" i="25" s="1"/>
  <c r="BI118" i="25"/>
  <c r="L134" i="25"/>
  <c r="BI134" i="25"/>
  <c r="N150" i="25"/>
  <c r="O150" i="25" s="1"/>
  <c r="Q150" i="25" s="1"/>
  <c r="BI150" i="25"/>
  <c r="L166" i="25"/>
  <c r="BI166" i="25"/>
  <c r="L182" i="25"/>
  <c r="BI182" i="25"/>
  <c r="L198" i="25"/>
  <c r="BI198" i="25"/>
  <c r="K171" i="24"/>
  <c r="BK171" i="24"/>
  <c r="M123" i="24"/>
  <c r="N123" i="24" s="1"/>
  <c r="P123" i="24" s="1"/>
  <c r="BK123" i="24"/>
  <c r="K175" i="24"/>
  <c r="BK175" i="24"/>
  <c r="M128" i="24"/>
  <c r="N128" i="24" s="1"/>
  <c r="P128" i="24" s="1"/>
  <c r="BK128" i="24"/>
  <c r="K184" i="24"/>
  <c r="BK184" i="24"/>
  <c r="M142" i="24"/>
  <c r="N142" i="24" s="1"/>
  <c r="P142" i="24" s="1"/>
  <c r="BK142" i="24"/>
  <c r="M194" i="24"/>
  <c r="N194" i="24" s="1"/>
  <c r="P194" i="24" s="1"/>
  <c r="BK194" i="24"/>
  <c r="K151" i="24"/>
  <c r="BK151" i="24"/>
  <c r="K124" i="24"/>
  <c r="BK124" i="24"/>
  <c r="K114" i="24"/>
  <c r="BK114" i="24"/>
  <c r="M181" i="24"/>
  <c r="N181" i="24" s="1"/>
  <c r="P181" i="24" s="1"/>
  <c r="BK181" i="24"/>
  <c r="M165" i="24"/>
  <c r="N165" i="24" s="1"/>
  <c r="P165" i="24" s="1"/>
  <c r="BK165" i="24"/>
  <c r="K133" i="24"/>
  <c r="BK133" i="24"/>
  <c r="M208" i="24"/>
  <c r="N208" i="24" s="1"/>
  <c r="P208" i="24" s="1"/>
  <c r="BK208" i="24"/>
  <c r="K166" i="24"/>
  <c r="BK166" i="24"/>
  <c r="M115" i="24"/>
  <c r="N115" i="24" s="1"/>
  <c r="P115" i="24" s="1"/>
  <c r="BK115" i="24"/>
  <c r="M170" i="24"/>
  <c r="N170" i="24" s="1"/>
  <c r="P170" i="24" s="1"/>
  <c r="BK170" i="24"/>
  <c r="K120" i="24"/>
  <c r="BK120" i="24"/>
  <c r="M179" i="24"/>
  <c r="N179" i="24" s="1"/>
  <c r="BK179" i="24"/>
  <c r="K135" i="24"/>
  <c r="BK135" i="24"/>
  <c r="M210" i="24"/>
  <c r="BK210" i="24"/>
  <c r="M167" i="24"/>
  <c r="N167" i="24" s="1"/>
  <c r="P167" i="24" s="1"/>
  <c r="BK167" i="24"/>
  <c r="K146" i="24"/>
  <c r="BK146" i="24"/>
  <c r="K126" i="24"/>
  <c r="BK126" i="24"/>
  <c r="K193" i="24"/>
  <c r="BK193" i="24"/>
  <c r="M161" i="24"/>
  <c r="N161" i="24" s="1"/>
  <c r="P161" i="24" s="1"/>
  <c r="BK161" i="24"/>
  <c r="K113" i="24"/>
  <c r="BK113" i="24"/>
  <c r="K198" i="24"/>
  <c r="BK198" i="24"/>
  <c r="K176" i="24"/>
  <c r="BK176" i="24"/>
  <c r="M155" i="24"/>
  <c r="N155" i="24" s="1"/>
  <c r="P155" i="24" s="1"/>
  <c r="BK155" i="24"/>
  <c r="M131" i="24"/>
  <c r="N131" i="24" s="1"/>
  <c r="P131" i="24" s="1"/>
  <c r="BK131" i="24"/>
  <c r="K202" i="24"/>
  <c r="BK202" i="24"/>
  <c r="K180" i="24"/>
  <c r="BK180" i="24"/>
  <c r="M159" i="24"/>
  <c r="N159" i="24" s="1"/>
  <c r="P159" i="24" s="1"/>
  <c r="BK159" i="24"/>
  <c r="M136" i="24"/>
  <c r="N136" i="24" s="1"/>
  <c r="P136" i="24" s="1"/>
  <c r="BK136" i="24"/>
  <c r="K190" i="24"/>
  <c r="BK190" i="24"/>
  <c r="K168" i="24"/>
  <c r="BK168" i="24"/>
  <c r="K147" i="24"/>
  <c r="BK147" i="24"/>
  <c r="M119" i="24"/>
  <c r="N119" i="24" s="1"/>
  <c r="P119" i="24" s="1"/>
  <c r="BK119" i="24"/>
  <c r="M199" i="24"/>
  <c r="N199" i="24" s="1"/>
  <c r="P199" i="24" s="1"/>
  <c r="BK199" i="24"/>
  <c r="K178" i="24"/>
  <c r="BK178" i="24"/>
  <c r="K156" i="24"/>
  <c r="BK156" i="24"/>
  <c r="K132" i="24"/>
  <c r="BK132" i="24"/>
  <c r="M134" i="24"/>
  <c r="N134" i="24" s="1"/>
  <c r="P134" i="24" s="1"/>
  <c r="BK134" i="24"/>
  <c r="K118" i="24"/>
  <c r="BK118" i="24"/>
  <c r="M201" i="24"/>
  <c r="N201" i="24" s="1"/>
  <c r="P201" i="24" s="1"/>
  <c r="BK201" i="24"/>
  <c r="K185" i="24"/>
  <c r="BK185" i="24"/>
  <c r="M169" i="24"/>
  <c r="N169" i="24" s="1"/>
  <c r="P169" i="24" s="1"/>
  <c r="BK169" i="24"/>
  <c r="K153" i="24"/>
  <c r="BK153" i="24"/>
  <c r="M137" i="24"/>
  <c r="N137" i="24" s="1"/>
  <c r="P137" i="24" s="1"/>
  <c r="BK137" i="24"/>
  <c r="K121" i="24"/>
  <c r="BK121" i="24"/>
  <c r="M192" i="24"/>
  <c r="N192" i="24" s="1"/>
  <c r="P192" i="24" s="1"/>
  <c r="BK192" i="24"/>
  <c r="M150" i="24"/>
  <c r="N150" i="24" s="1"/>
  <c r="P150" i="24" s="1"/>
  <c r="BK150" i="24"/>
  <c r="M196" i="24"/>
  <c r="N196" i="24" s="1"/>
  <c r="P196" i="24" s="1"/>
  <c r="BK196" i="24"/>
  <c r="M154" i="24"/>
  <c r="N154" i="24" s="1"/>
  <c r="P154" i="24" s="1"/>
  <c r="BK154" i="24"/>
  <c r="M206" i="24"/>
  <c r="N206" i="24" s="1"/>
  <c r="P206" i="24" s="1"/>
  <c r="BK206" i="24"/>
  <c r="M163" i="24"/>
  <c r="N163" i="24" s="1"/>
  <c r="P163" i="24" s="1"/>
  <c r="BK163" i="24"/>
  <c r="K111" i="24"/>
  <c r="BK111" i="24"/>
  <c r="M172" i="24"/>
  <c r="N172" i="24" s="1"/>
  <c r="P172" i="24" s="1"/>
  <c r="BK172" i="24"/>
  <c r="K130" i="24"/>
  <c r="BK130" i="24"/>
  <c r="K197" i="24"/>
  <c r="BK197" i="24"/>
  <c r="M149" i="24"/>
  <c r="N149" i="24" s="1"/>
  <c r="P149" i="24" s="1"/>
  <c r="BK149" i="24"/>
  <c r="K117" i="24"/>
  <c r="BK117" i="24"/>
  <c r="M187" i="24"/>
  <c r="N187" i="24" s="1"/>
  <c r="P187" i="24" s="1"/>
  <c r="BK187" i="24"/>
  <c r="K144" i="24"/>
  <c r="BK144" i="24"/>
  <c r="K191" i="24"/>
  <c r="BK191" i="24"/>
  <c r="M148" i="24"/>
  <c r="N148" i="24" s="1"/>
  <c r="P148" i="24" s="1"/>
  <c r="BK148" i="24"/>
  <c r="K200" i="24"/>
  <c r="BK200" i="24"/>
  <c r="K158" i="24"/>
  <c r="BK158" i="24"/>
  <c r="M188" i="24"/>
  <c r="N188" i="24" s="1"/>
  <c r="P188" i="24" s="1"/>
  <c r="BK188" i="24"/>
  <c r="M116" i="24"/>
  <c r="N116" i="24" s="1"/>
  <c r="P116" i="24" s="1"/>
  <c r="BK116" i="24"/>
  <c r="K209" i="24"/>
  <c r="BK209" i="24"/>
  <c r="M177" i="24"/>
  <c r="N177" i="24" s="1"/>
  <c r="P177" i="24" s="1"/>
  <c r="BK177" i="24"/>
  <c r="M145" i="24"/>
  <c r="N145" i="24" s="1"/>
  <c r="P145" i="24" s="1"/>
  <c r="BK145" i="24"/>
  <c r="K129" i="24"/>
  <c r="BK129" i="24"/>
  <c r="M203" i="24"/>
  <c r="N203" i="24" s="1"/>
  <c r="P203" i="24" s="1"/>
  <c r="BK203" i="24"/>
  <c r="M182" i="24"/>
  <c r="N182" i="24" s="1"/>
  <c r="P182" i="24" s="1"/>
  <c r="BK182" i="24"/>
  <c r="K160" i="24"/>
  <c r="BK160" i="24"/>
  <c r="K139" i="24"/>
  <c r="BK139" i="24"/>
  <c r="M207" i="24"/>
  <c r="N207" i="24" s="1"/>
  <c r="P207" i="24" s="1"/>
  <c r="BK207" i="24"/>
  <c r="M186" i="24"/>
  <c r="N186" i="24" s="1"/>
  <c r="P186" i="24" s="1"/>
  <c r="BK186" i="24"/>
  <c r="K164" i="24"/>
  <c r="BK164" i="24"/>
  <c r="K143" i="24"/>
  <c r="BK143" i="24"/>
  <c r="M112" i="24"/>
  <c r="N112" i="24" s="1"/>
  <c r="P112" i="24" s="1"/>
  <c r="BK112" i="24"/>
  <c r="K195" i="24"/>
  <c r="BK195" i="24"/>
  <c r="K174" i="24"/>
  <c r="BK174" i="24"/>
  <c r="M152" i="24"/>
  <c r="N152" i="24" s="1"/>
  <c r="P152" i="24" s="1"/>
  <c r="BK152" i="24"/>
  <c r="K127" i="24"/>
  <c r="BK127" i="24"/>
  <c r="K204" i="24"/>
  <c r="BK204" i="24"/>
  <c r="M183" i="24"/>
  <c r="N183" i="24" s="1"/>
  <c r="P183" i="24" s="1"/>
  <c r="BK183" i="24"/>
  <c r="M162" i="24"/>
  <c r="N162" i="24" s="1"/>
  <c r="P162" i="24" s="1"/>
  <c r="BK162" i="24"/>
  <c r="K140" i="24"/>
  <c r="BK140" i="24"/>
  <c r="K138" i="24"/>
  <c r="BK138" i="24"/>
  <c r="M122" i="24"/>
  <c r="N122" i="24" s="1"/>
  <c r="P122" i="24" s="1"/>
  <c r="BK122" i="24"/>
  <c r="M205" i="24"/>
  <c r="N205" i="24" s="1"/>
  <c r="P205" i="24" s="1"/>
  <c r="BK205" i="24"/>
  <c r="K189" i="24"/>
  <c r="BK189" i="24"/>
  <c r="K173" i="24"/>
  <c r="BK173" i="24"/>
  <c r="M157" i="24"/>
  <c r="N157" i="24" s="1"/>
  <c r="P157" i="24" s="1"/>
  <c r="BK157" i="24"/>
  <c r="K141" i="24"/>
  <c r="BK141" i="24"/>
  <c r="M125" i="24"/>
  <c r="N125" i="24" s="1"/>
  <c r="P125" i="24" s="1"/>
  <c r="BK125" i="24"/>
  <c r="N187" i="25"/>
  <c r="O187" i="25" s="1"/>
  <c r="Q187" i="25" s="1"/>
  <c r="L200" i="25"/>
  <c r="B249" i="2"/>
  <c r="L13" i="1"/>
  <c r="J5" i="24"/>
  <c r="O5" i="24"/>
  <c r="S216" i="24"/>
  <c r="T216" i="24" s="1"/>
  <c r="S110" i="24"/>
  <c r="T110" i="24" s="1"/>
  <c r="P179" i="24"/>
  <c r="A28" i="16"/>
  <c r="P5" i="24"/>
  <c r="U5" i="24"/>
  <c r="T5" i="25"/>
  <c r="U5" i="25" s="1"/>
  <c r="N110" i="25"/>
  <c r="T110" i="25" s="1"/>
  <c r="U110" i="25" s="1"/>
  <c r="M110" i="24"/>
  <c r="BP5" i="25"/>
  <c r="L176" i="25"/>
  <c r="B245" i="2"/>
  <c r="D245" i="2" s="1"/>
  <c r="D34" i="16"/>
  <c r="L155" i="25"/>
  <c r="N149" i="25"/>
  <c r="O149" i="25" s="1"/>
  <c r="R149" i="25" s="1"/>
  <c r="N115" i="25"/>
  <c r="O115" i="25" s="1"/>
  <c r="R115" i="25" s="1"/>
  <c r="L172" i="25"/>
  <c r="N199" i="25"/>
  <c r="O199" i="25" s="1"/>
  <c r="R199" i="25" s="1"/>
  <c r="L124" i="25"/>
  <c r="N156" i="25"/>
  <c r="O156" i="25" s="1"/>
  <c r="R156" i="25" s="1"/>
  <c r="N114" i="25"/>
  <c r="O114" i="25" s="1"/>
  <c r="Q114" i="25" s="1"/>
  <c r="N130" i="25"/>
  <c r="O130" i="25" s="1"/>
  <c r="Q130" i="25" s="1"/>
  <c r="L195" i="25"/>
  <c r="N194" i="25"/>
  <c r="O194" i="25" s="1"/>
  <c r="R194" i="25" s="1"/>
  <c r="L162" i="25"/>
  <c r="L151" i="25"/>
  <c r="N143" i="25"/>
  <c r="O143" i="25" s="1"/>
  <c r="Q143" i="25" s="1"/>
  <c r="L145" i="25"/>
  <c r="O9" i="25"/>
  <c r="R9" i="25" s="1"/>
  <c r="O10" i="25"/>
  <c r="Q10" i="25" s="1"/>
  <c r="O80" i="25"/>
  <c r="Q80" i="25" s="1"/>
  <c r="O53" i="25"/>
  <c r="R53" i="25" s="1"/>
  <c r="L113" i="25"/>
  <c r="N161" i="25"/>
  <c r="O161" i="25" s="1"/>
  <c r="Q161" i="25" s="1"/>
  <c r="W42" i="2"/>
  <c r="W43" i="2" s="1"/>
  <c r="R43" i="2"/>
  <c r="N111" i="25"/>
  <c r="O111" i="25" s="1"/>
  <c r="R111" i="25" s="1"/>
  <c r="N159" i="25"/>
  <c r="O159" i="25" s="1"/>
  <c r="R159" i="25" s="1"/>
  <c r="L133" i="25"/>
  <c r="L197" i="25"/>
  <c r="N140" i="25"/>
  <c r="O140" i="25" s="1"/>
  <c r="R140" i="25" s="1"/>
  <c r="N178" i="25"/>
  <c r="O178" i="25" s="1"/>
  <c r="Q178" i="25" s="1"/>
  <c r="N210" i="25"/>
  <c r="O210" i="25" s="1"/>
  <c r="Q210" i="25" s="1"/>
  <c r="L146" i="25"/>
  <c r="L204" i="25"/>
  <c r="L117" i="25"/>
  <c r="L165" i="25"/>
  <c r="L188" i="25"/>
  <c r="L181" i="25"/>
  <c r="L184" i="25"/>
  <c r="L177" i="25"/>
  <c r="N193" i="25"/>
  <c r="O193" i="25" s="1"/>
  <c r="Q193" i="25" s="1"/>
  <c r="N147" i="25"/>
  <c r="O147" i="25" s="1"/>
  <c r="R147" i="25" s="1"/>
  <c r="L139" i="25"/>
  <c r="L142" i="25"/>
  <c r="L183" i="25"/>
  <c r="N168" i="25"/>
  <c r="O168" i="25" s="1"/>
  <c r="Q168" i="25" s="1"/>
  <c r="N174" i="25"/>
  <c r="O174" i="25" s="1"/>
  <c r="Q174" i="25" s="1"/>
  <c r="O57" i="25"/>
  <c r="R57" i="25" s="1"/>
  <c r="O89" i="25"/>
  <c r="R89" i="25" s="1"/>
  <c r="O94" i="25"/>
  <c r="R94" i="25" s="1"/>
  <c r="O55" i="25"/>
  <c r="Q55" i="25" s="1"/>
  <c r="O65" i="25"/>
  <c r="Q65" i="25" s="1"/>
  <c r="O12" i="25"/>
  <c r="R12" i="25" s="1"/>
  <c r="O104" i="25"/>
  <c r="Q104" i="25" s="1"/>
  <c r="O13" i="25"/>
  <c r="R13" i="25" s="1"/>
  <c r="O32" i="25"/>
  <c r="Q32" i="25" s="1"/>
  <c r="O52" i="25"/>
  <c r="Q52" i="25" s="1"/>
  <c r="O18" i="25"/>
  <c r="R18" i="25" s="1"/>
  <c r="O31" i="25"/>
  <c r="Q31" i="25" s="1"/>
  <c r="O59" i="25"/>
  <c r="Q59" i="25" s="1"/>
  <c r="O93" i="25"/>
  <c r="Q93" i="25" s="1"/>
  <c r="R44" i="2"/>
  <c r="B26" i="2"/>
  <c r="L118" i="25"/>
  <c r="N175" i="25"/>
  <c r="O175" i="25" s="1"/>
  <c r="R175" i="25" s="1"/>
  <c r="L148" i="25"/>
  <c r="L122" i="25"/>
  <c r="N136" i="25"/>
  <c r="O136" i="25" s="1"/>
  <c r="R136" i="25" s="1"/>
  <c r="L180" i="25"/>
  <c r="N120" i="25"/>
  <c r="O120" i="25" s="1"/>
  <c r="R120" i="25" s="1"/>
  <c r="L163" i="25"/>
  <c r="N129" i="25"/>
  <c r="O129" i="25" s="1"/>
  <c r="Q129" i="25" s="1"/>
  <c r="N119" i="25"/>
  <c r="O119" i="25" s="1"/>
  <c r="Q119" i="25" s="1"/>
  <c r="L128" i="25"/>
  <c r="L158" i="25"/>
  <c r="L152" i="25"/>
  <c r="N191" i="25"/>
  <c r="O191" i="25" s="1"/>
  <c r="R191" i="25" s="1"/>
  <c r="N192" i="25"/>
  <c r="O192" i="25" s="1"/>
  <c r="R192" i="25" s="1"/>
  <c r="N185" i="25"/>
  <c r="O185" i="25" s="1"/>
  <c r="Q185" i="25" s="1"/>
  <c r="N166" i="25"/>
  <c r="O166" i="25" s="1"/>
  <c r="Q166" i="25" s="1"/>
  <c r="L203" i="25"/>
  <c r="N167" i="25"/>
  <c r="O167" i="25" s="1"/>
  <c r="R167" i="25" s="1"/>
  <c r="L207" i="25"/>
  <c r="N209" i="25"/>
  <c r="O209" i="25" s="1"/>
  <c r="Q209" i="25" s="1"/>
  <c r="L126" i="25"/>
  <c r="N206" i="25"/>
  <c r="O206" i="25" s="1"/>
  <c r="Q206" i="25" s="1"/>
  <c r="N160" i="25"/>
  <c r="O160" i="25" s="1"/>
  <c r="R160" i="25" s="1"/>
  <c r="N153" i="25"/>
  <c r="O153" i="25" s="1"/>
  <c r="Q153" i="25" s="1"/>
  <c r="N134" i="25"/>
  <c r="O134" i="25" s="1"/>
  <c r="Q134" i="25" s="1"/>
  <c r="N198" i="25"/>
  <c r="O198" i="25" s="1"/>
  <c r="R198" i="25" s="1"/>
  <c r="N201" i="25"/>
  <c r="O201" i="25" s="1"/>
  <c r="R201" i="25" s="1"/>
  <c r="N112" i="25"/>
  <c r="O112" i="25" s="1"/>
  <c r="R112" i="25" s="1"/>
  <c r="L121" i="25"/>
  <c r="N123" i="25"/>
  <c r="O123" i="25" s="1"/>
  <c r="L150" i="25"/>
  <c r="N144" i="25"/>
  <c r="O144" i="25" s="1"/>
  <c r="Q144" i="25" s="1"/>
  <c r="N137" i="25"/>
  <c r="O137" i="25" s="1"/>
  <c r="R137" i="25" s="1"/>
  <c r="N169" i="25"/>
  <c r="O169" i="25" s="1"/>
  <c r="Q169" i="25" s="1"/>
  <c r="N182" i="25"/>
  <c r="O182" i="25" s="1"/>
  <c r="R182" i="25" s="1"/>
  <c r="L208" i="25"/>
  <c r="L190" i="25"/>
  <c r="L127" i="25"/>
  <c r="N116" i="25"/>
  <c r="O116" i="25" s="1"/>
  <c r="Q116" i="25" s="1"/>
  <c r="O158" i="25"/>
  <c r="R158" i="25" s="1"/>
  <c r="O87" i="25"/>
  <c r="Q87" i="25" s="1"/>
  <c r="O29" i="25"/>
  <c r="R29" i="25" s="1"/>
  <c r="O64" i="25"/>
  <c r="R64" i="25" s="1"/>
  <c r="O35" i="25"/>
  <c r="R35" i="25" s="1"/>
  <c r="O62" i="25"/>
  <c r="R62" i="25" s="1"/>
  <c r="O81" i="25"/>
  <c r="R81" i="25" s="1"/>
  <c r="O72" i="25"/>
  <c r="Q72" i="25" s="1"/>
  <c r="O22" i="25"/>
  <c r="Q22" i="25" s="1"/>
  <c r="O82" i="25"/>
  <c r="Q82" i="25" s="1"/>
  <c r="O63" i="25"/>
  <c r="R63" i="25" s="1"/>
  <c r="O41" i="25"/>
  <c r="Q41" i="25" s="1"/>
  <c r="O67" i="25"/>
  <c r="R67" i="25" s="1"/>
  <c r="O86" i="25"/>
  <c r="Q86" i="25" s="1"/>
  <c r="O44" i="25"/>
  <c r="Q44" i="25" s="1"/>
  <c r="O79" i="25"/>
  <c r="R79" i="25" s="1"/>
  <c r="O100" i="25"/>
  <c r="Q100" i="25" s="1"/>
  <c r="O90" i="25"/>
  <c r="Q90" i="25" s="1"/>
  <c r="O58" i="25"/>
  <c r="Q58" i="25" s="1"/>
  <c r="O30" i="25"/>
  <c r="R30" i="25" s="1"/>
  <c r="O73" i="25"/>
  <c r="R73" i="25" s="1"/>
  <c r="O15" i="25"/>
  <c r="Q15" i="25" s="1"/>
  <c r="O25" i="25"/>
  <c r="R25" i="25" s="1"/>
  <c r="O24" i="25"/>
  <c r="R24" i="25" s="1"/>
  <c r="O6" i="25"/>
  <c r="Q6" i="25" s="1"/>
  <c r="O88" i="25"/>
  <c r="Q88" i="25" s="1"/>
  <c r="O47" i="25"/>
  <c r="Q47" i="25" s="1"/>
  <c r="O16" i="25"/>
  <c r="R16" i="25" s="1"/>
  <c r="O85" i="25"/>
  <c r="Q85" i="25" s="1"/>
  <c r="O60" i="25"/>
  <c r="R60" i="25" s="1"/>
  <c r="O61" i="25"/>
  <c r="R61" i="25" s="1"/>
  <c r="O49" i="25"/>
  <c r="R49" i="25" s="1"/>
  <c r="O8" i="25"/>
  <c r="Q8" i="25" s="1"/>
  <c r="O40" i="25"/>
  <c r="Q40" i="25" s="1"/>
  <c r="O76" i="25"/>
  <c r="Q76" i="25" s="1"/>
  <c r="O26" i="25"/>
  <c r="Q26" i="25" s="1"/>
  <c r="O71" i="25"/>
  <c r="R71" i="25" s="1"/>
  <c r="O69" i="25"/>
  <c r="Q69" i="25" s="1"/>
  <c r="O101" i="25"/>
  <c r="R101" i="25" s="1"/>
  <c r="O21" i="25"/>
  <c r="Q21" i="25" s="1"/>
  <c r="O50" i="25"/>
  <c r="R50" i="25" s="1"/>
  <c r="O99" i="25"/>
  <c r="R99" i="25" s="1"/>
  <c r="O23" i="25"/>
  <c r="Q23" i="25" s="1"/>
  <c r="O51" i="25"/>
  <c r="Q51" i="25" s="1"/>
  <c r="O83" i="25"/>
  <c r="Q83" i="25" s="1"/>
  <c r="O96" i="25"/>
  <c r="Q96" i="25" s="1"/>
  <c r="O91" i="25"/>
  <c r="Q91" i="25" s="1"/>
  <c r="O43" i="25"/>
  <c r="Q43" i="25" s="1"/>
  <c r="O38" i="25"/>
  <c r="Q38" i="25" s="1"/>
  <c r="O70" i="25"/>
  <c r="Q70" i="25" s="1"/>
  <c r="O39" i="25"/>
  <c r="R39" i="25" s="1"/>
  <c r="O37" i="25"/>
  <c r="R37" i="25" s="1"/>
  <c r="O36" i="25"/>
  <c r="Q36" i="25" s="1"/>
  <c r="O84" i="25"/>
  <c r="Q84" i="25" s="1"/>
  <c r="O75" i="25"/>
  <c r="Q75" i="25" s="1"/>
  <c r="O19" i="25"/>
  <c r="R19" i="25" s="1"/>
  <c r="O74" i="25"/>
  <c r="Q74" i="25" s="1"/>
  <c r="O46" i="25"/>
  <c r="R46" i="25" s="1"/>
  <c r="O48" i="25"/>
  <c r="R48" i="25" s="1"/>
  <c r="O105" i="25"/>
  <c r="Q105" i="25" s="1"/>
  <c r="O45" i="25"/>
  <c r="Q45" i="25" s="1"/>
  <c r="O7" i="25"/>
  <c r="R7" i="25" s="1"/>
  <c r="O33" i="25"/>
  <c r="Q33" i="25" s="1"/>
  <c r="O28" i="25"/>
  <c r="Q28" i="25" s="1"/>
  <c r="O54" i="25"/>
  <c r="Q54" i="25" s="1"/>
  <c r="O68" i="25"/>
  <c r="R68" i="25" s="1"/>
  <c r="O42" i="25"/>
  <c r="R42" i="25" s="1"/>
  <c r="O92" i="25"/>
  <c r="Q92" i="25" s="1"/>
  <c r="O103" i="25"/>
  <c r="Q103" i="25" s="1"/>
  <c r="O14" i="25"/>
  <c r="Q14" i="25" s="1"/>
  <c r="O27" i="25"/>
  <c r="R27" i="25" s="1"/>
  <c r="O66" i="25"/>
  <c r="R66" i="25" s="1"/>
  <c r="O11" i="25"/>
  <c r="Q11" i="25" s="1"/>
  <c r="O17" i="25"/>
  <c r="R17" i="25" s="1"/>
  <c r="O77" i="25"/>
  <c r="Q77" i="25" s="1"/>
  <c r="O20" i="25"/>
  <c r="R20" i="25" s="1"/>
  <c r="O56" i="25"/>
  <c r="Q56" i="25" s="1"/>
  <c r="O97" i="25"/>
  <c r="Q97" i="25" s="1"/>
  <c r="O98" i="25"/>
  <c r="R98" i="25" s="1"/>
  <c r="O102" i="25"/>
  <c r="R102" i="25" s="1"/>
  <c r="O95" i="25"/>
  <c r="R95" i="25" s="1"/>
  <c r="O34" i="25"/>
  <c r="R34" i="25" s="1"/>
  <c r="O78" i="25"/>
  <c r="Q78" i="25" s="1"/>
  <c r="L171" i="25"/>
  <c r="L110" i="25"/>
  <c r="L141" i="25"/>
  <c r="L173" i="25"/>
  <c r="L205" i="25"/>
  <c r="N154" i="25"/>
  <c r="O154" i="25" s="1"/>
  <c r="Q154" i="25" s="1"/>
  <c r="N186" i="25"/>
  <c r="O186" i="25" s="1"/>
  <c r="Q186" i="25" s="1"/>
  <c r="N179" i="25"/>
  <c r="O179" i="25" s="1"/>
  <c r="Q179" i="25" s="1"/>
  <c r="L138" i="25"/>
  <c r="L170" i="25"/>
  <c r="L202" i="25"/>
  <c r="N135" i="25"/>
  <c r="O135" i="25" s="1"/>
  <c r="R135" i="25" s="1"/>
  <c r="L131" i="25"/>
  <c r="L125" i="25"/>
  <c r="L157" i="25"/>
  <c r="L189" i="25"/>
  <c r="N132" i="25"/>
  <c r="O132" i="25" s="1"/>
  <c r="Q132" i="25" s="1"/>
  <c r="N164" i="25"/>
  <c r="O164" i="25" s="1"/>
  <c r="Q164" i="25" s="1"/>
  <c r="N196" i="25"/>
  <c r="O196" i="25" s="1"/>
  <c r="Q196" i="25" s="1"/>
  <c r="I9" i="19"/>
  <c r="I8" i="19"/>
  <c r="I7" i="19"/>
  <c r="I6" i="19"/>
  <c r="N238" i="25"/>
  <c r="O238" i="25" s="1"/>
  <c r="L238" i="25"/>
  <c r="N242" i="25"/>
  <c r="O242" i="25" s="1"/>
  <c r="L242" i="25"/>
  <c r="N246" i="25"/>
  <c r="O246" i="25" s="1"/>
  <c r="L246" i="25"/>
  <c r="N234" i="25"/>
  <c r="O234" i="25" s="1"/>
  <c r="L234" i="25"/>
  <c r="N286" i="25"/>
  <c r="O286" i="25" s="1"/>
  <c r="L286" i="25"/>
  <c r="N302" i="25"/>
  <c r="O302" i="25" s="1"/>
  <c r="L302" i="25"/>
  <c r="N216" i="25"/>
  <c r="L216" i="25"/>
  <c r="N231" i="25"/>
  <c r="O231" i="25" s="1"/>
  <c r="L231" i="25"/>
  <c r="L247" i="25"/>
  <c r="N247" i="25"/>
  <c r="O247" i="25" s="1"/>
  <c r="L263" i="25"/>
  <c r="N263" i="25"/>
  <c r="O263" i="25" s="1"/>
  <c r="L279" i="25"/>
  <c r="N279" i="25"/>
  <c r="O279" i="25" s="1"/>
  <c r="L295" i="25"/>
  <c r="N295" i="25"/>
  <c r="O295" i="25" s="1"/>
  <c r="N311" i="25"/>
  <c r="O311" i="25" s="1"/>
  <c r="L311" i="25"/>
  <c r="L228" i="25"/>
  <c r="N228" i="25"/>
  <c r="O228" i="25" s="1"/>
  <c r="L244" i="25"/>
  <c r="N244" i="25"/>
  <c r="O244" i="25" s="1"/>
  <c r="L260" i="25"/>
  <c r="N260" i="25"/>
  <c r="O260" i="25" s="1"/>
  <c r="N276" i="25"/>
  <c r="O276" i="25" s="1"/>
  <c r="L276" i="25"/>
  <c r="L292" i="25"/>
  <c r="N292" i="25"/>
  <c r="O292" i="25" s="1"/>
  <c r="N308" i="25"/>
  <c r="O308" i="25" s="1"/>
  <c r="L308" i="25"/>
  <c r="N221" i="25"/>
  <c r="O221" i="25" s="1"/>
  <c r="L221" i="25"/>
  <c r="L237" i="25"/>
  <c r="N237" i="25"/>
  <c r="O237" i="25" s="1"/>
  <c r="L253" i="25"/>
  <c r="N253" i="25"/>
  <c r="O253" i="25" s="1"/>
  <c r="L269" i="25"/>
  <c r="N269" i="25"/>
  <c r="O269" i="25" s="1"/>
  <c r="N285" i="25"/>
  <c r="O285" i="25" s="1"/>
  <c r="L285" i="25"/>
  <c r="L301" i="25"/>
  <c r="N301" i="25"/>
  <c r="O301" i="25" s="1"/>
  <c r="N254" i="25"/>
  <c r="O254" i="25" s="1"/>
  <c r="L254" i="25"/>
  <c r="N258" i="25"/>
  <c r="O258" i="25" s="1"/>
  <c r="L258" i="25"/>
  <c r="N262" i="25"/>
  <c r="O262" i="25" s="1"/>
  <c r="L262" i="25"/>
  <c r="N250" i="25"/>
  <c r="O250" i="25" s="1"/>
  <c r="L250" i="25"/>
  <c r="N290" i="25"/>
  <c r="O290" i="25" s="1"/>
  <c r="L290" i="25"/>
  <c r="N306" i="25"/>
  <c r="O306" i="25" s="1"/>
  <c r="L306" i="25"/>
  <c r="L219" i="25"/>
  <c r="N219" i="25"/>
  <c r="O219" i="25" s="1"/>
  <c r="L235" i="25"/>
  <c r="N235" i="25"/>
  <c r="O235" i="25" s="1"/>
  <c r="L251" i="25"/>
  <c r="N251" i="25"/>
  <c r="O251" i="25" s="1"/>
  <c r="L267" i="25"/>
  <c r="N267" i="25"/>
  <c r="O267" i="25" s="1"/>
  <c r="N283" i="25"/>
  <c r="O283" i="25" s="1"/>
  <c r="L283" i="25"/>
  <c r="N299" i="25"/>
  <c r="O299" i="25" s="1"/>
  <c r="L299" i="25"/>
  <c r="N315" i="25"/>
  <c r="O315" i="25" s="1"/>
  <c r="L315" i="25"/>
  <c r="N232" i="25"/>
  <c r="O232" i="25" s="1"/>
  <c r="L232" i="25"/>
  <c r="N248" i="25"/>
  <c r="O248" i="25" s="1"/>
  <c r="L248" i="25"/>
  <c r="N264" i="25"/>
  <c r="O264" i="25" s="1"/>
  <c r="L264" i="25"/>
  <c r="N280" i="25"/>
  <c r="O280" i="25" s="1"/>
  <c r="L280" i="25"/>
  <c r="L296" i="25"/>
  <c r="N296" i="25"/>
  <c r="O296" i="25" s="1"/>
  <c r="N312" i="25"/>
  <c r="O312" i="25" s="1"/>
  <c r="L312" i="25"/>
  <c r="N225" i="25"/>
  <c r="O225" i="25" s="1"/>
  <c r="L225" i="25"/>
  <c r="N241" i="25"/>
  <c r="O241" i="25" s="1"/>
  <c r="L241" i="25"/>
  <c r="N257" i="25"/>
  <c r="O257" i="25" s="1"/>
  <c r="L257" i="25"/>
  <c r="N273" i="25"/>
  <c r="O273" i="25" s="1"/>
  <c r="L273" i="25"/>
  <c r="N289" i="25"/>
  <c r="O289" i="25" s="1"/>
  <c r="L289" i="25"/>
  <c r="L305" i="25"/>
  <c r="N305" i="25"/>
  <c r="O305" i="25" s="1"/>
  <c r="N270" i="25"/>
  <c r="O270" i="25" s="1"/>
  <c r="L270" i="25"/>
  <c r="L274" i="25"/>
  <c r="N274" i="25"/>
  <c r="O274" i="25" s="1"/>
  <c r="N278" i="25"/>
  <c r="O278" i="25" s="1"/>
  <c r="L278" i="25"/>
  <c r="N266" i="25"/>
  <c r="O266" i="25" s="1"/>
  <c r="L266" i="25"/>
  <c r="N294" i="25"/>
  <c r="O294" i="25" s="1"/>
  <c r="L294" i="25"/>
  <c r="L310" i="25"/>
  <c r="N310" i="25"/>
  <c r="O310" i="25" s="1"/>
  <c r="L223" i="25"/>
  <c r="N223" i="25"/>
  <c r="O223" i="25" s="1"/>
  <c r="L239" i="25"/>
  <c r="N239" i="25"/>
  <c r="O239" i="25" s="1"/>
  <c r="L255" i="25"/>
  <c r="N255" i="25"/>
  <c r="O255" i="25" s="1"/>
  <c r="L271" i="25"/>
  <c r="N271" i="25"/>
  <c r="O271" i="25" s="1"/>
  <c r="L287" i="25"/>
  <c r="N287" i="25"/>
  <c r="O287" i="25" s="1"/>
  <c r="L303" i="25"/>
  <c r="N303" i="25"/>
  <c r="O303" i="25" s="1"/>
  <c r="N220" i="25"/>
  <c r="O220" i="25" s="1"/>
  <c r="L220" i="25"/>
  <c r="N236" i="25"/>
  <c r="O236" i="25" s="1"/>
  <c r="L236" i="25"/>
  <c r="N252" i="25"/>
  <c r="O252" i="25" s="1"/>
  <c r="L252" i="25"/>
  <c r="N268" i="25"/>
  <c r="O268" i="25" s="1"/>
  <c r="L268" i="25"/>
  <c r="N284" i="25"/>
  <c r="O284" i="25" s="1"/>
  <c r="L284" i="25"/>
  <c r="L300" i="25"/>
  <c r="N300" i="25"/>
  <c r="O300" i="25" s="1"/>
  <c r="N316" i="25"/>
  <c r="O316" i="25" s="1"/>
  <c r="L316" i="25"/>
  <c r="N229" i="25"/>
  <c r="O229" i="25" s="1"/>
  <c r="L229" i="25"/>
  <c r="N245" i="25"/>
  <c r="O245" i="25" s="1"/>
  <c r="L245" i="25"/>
  <c r="N261" i="25"/>
  <c r="O261" i="25" s="1"/>
  <c r="L261" i="25"/>
  <c r="L277" i="25"/>
  <c r="N277" i="25"/>
  <c r="O277" i="25" s="1"/>
  <c r="N293" i="25"/>
  <c r="O293" i="25" s="1"/>
  <c r="L293" i="25"/>
  <c r="L309" i="25"/>
  <c r="N309" i="25"/>
  <c r="O309" i="25" s="1"/>
  <c r="L222" i="25"/>
  <c r="N222" i="25"/>
  <c r="O222" i="25" s="1"/>
  <c r="L226" i="25"/>
  <c r="N226" i="25"/>
  <c r="O226" i="25" s="1"/>
  <c r="L230" i="25"/>
  <c r="N230" i="25"/>
  <c r="O230" i="25" s="1"/>
  <c r="L218" i="25"/>
  <c r="N218" i="25"/>
  <c r="O218" i="25" s="1"/>
  <c r="N282" i="25"/>
  <c r="O282" i="25" s="1"/>
  <c r="L282" i="25"/>
  <c r="N298" i="25"/>
  <c r="O298" i="25" s="1"/>
  <c r="L298" i="25"/>
  <c r="N314" i="25"/>
  <c r="O314" i="25" s="1"/>
  <c r="L314" i="25"/>
  <c r="N227" i="25"/>
  <c r="O227" i="25" s="1"/>
  <c r="L227" i="25"/>
  <c r="L243" i="25"/>
  <c r="N243" i="25"/>
  <c r="O243" i="25" s="1"/>
  <c r="L259" i="25"/>
  <c r="N259" i="25"/>
  <c r="O259" i="25" s="1"/>
  <c r="N275" i="25"/>
  <c r="O275" i="25" s="1"/>
  <c r="L275" i="25"/>
  <c r="L291" i="25"/>
  <c r="N291" i="25"/>
  <c r="O291" i="25" s="1"/>
  <c r="N307" i="25"/>
  <c r="O307" i="25" s="1"/>
  <c r="L307" i="25"/>
  <c r="N224" i="25"/>
  <c r="O224" i="25" s="1"/>
  <c r="L224" i="25"/>
  <c r="L240" i="25"/>
  <c r="N240" i="25"/>
  <c r="O240" i="25" s="1"/>
  <c r="L256" i="25"/>
  <c r="N256" i="25"/>
  <c r="O256" i="25" s="1"/>
  <c r="N272" i="25"/>
  <c r="O272" i="25" s="1"/>
  <c r="L272" i="25"/>
  <c r="N288" i="25"/>
  <c r="O288" i="25" s="1"/>
  <c r="L288" i="25"/>
  <c r="L304" i="25"/>
  <c r="N304" i="25"/>
  <c r="O304" i="25" s="1"/>
  <c r="N217" i="25"/>
  <c r="O217" i="25" s="1"/>
  <c r="L217" i="25"/>
  <c r="N233" i="25"/>
  <c r="O233" i="25" s="1"/>
  <c r="L233" i="25"/>
  <c r="N249" i="25"/>
  <c r="O249" i="25" s="1"/>
  <c r="L249" i="25"/>
  <c r="N265" i="25"/>
  <c r="O265" i="25" s="1"/>
  <c r="L265" i="25"/>
  <c r="N281" i="25"/>
  <c r="O281" i="25" s="1"/>
  <c r="L281" i="25"/>
  <c r="N297" i="25"/>
  <c r="O297" i="25" s="1"/>
  <c r="L297" i="25"/>
  <c r="L313" i="25"/>
  <c r="N313" i="25"/>
  <c r="O313" i="25" s="1"/>
  <c r="F314" i="25"/>
  <c r="F310" i="25"/>
  <c r="F306" i="25"/>
  <c r="F304" i="25"/>
  <c r="F303" i="25"/>
  <c r="F302" i="25"/>
  <c r="F301" i="25"/>
  <c r="F315" i="25"/>
  <c r="F311" i="25"/>
  <c r="F307" i="25"/>
  <c r="F305" i="25"/>
  <c r="F300" i="25"/>
  <c r="F296" i="25"/>
  <c r="F292" i="25"/>
  <c r="F288" i="25"/>
  <c r="F284" i="25"/>
  <c r="F313" i="25"/>
  <c r="F312" i="25"/>
  <c r="F297" i="25"/>
  <c r="F293" i="25"/>
  <c r="F289" i="25"/>
  <c r="F285" i="25"/>
  <c r="F281" i="25"/>
  <c r="F279" i="25"/>
  <c r="F275" i="25"/>
  <c r="F271" i="25"/>
  <c r="F316" i="25"/>
  <c r="F309" i="25"/>
  <c r="F280" i="25"/>
  <c r="F276" i="25"/>
  <c r="F272" i="25"/>
  <c r="F294" i="25"/>
  <c r="F286" i="25"/>
  <c r="F265" i="25"/>
  <c r="F261" i="25"/>
  <c r="F257" i="25"/>
  <c r="F253" i="25"/>
  <c r="F249" i="25"/>
  <c r="F245" i="25"/>
  <c r="F241" i="25"/>
  <c r="F237" i="25"/>
  <c r="F233" i="25"/>
  <c r="F208" i="25"/>
  <c r="F204" i="25"/>
  <c r="F200" i="25"/>
  <c r="F299" i="25"/>
  <c r="F291" i="25"/>
  <c r="F283" i="25"/>
  <c r="F266" i="25"/>
  <c r="F262" i="25"/>
  <c r="F258" i="25"/>
  <c r="F254" i="25"/>
  <c r="F250" i="25"/>
  <c r="F246" i="25"/>
  <c r="F242" i="25"/>
  <c r="F238" i="25"/>
  <c r="F234" i="25"/>
  <c r="F207" i="25"/>
  <c r="F203" i="25"/>
  <c r="F308" i="25"/>
  <c r="F298" i="25"/>
  <c r="F282" i="25"/>
  <c r="F228" i="25"/>
  <c r="F224" i="25"/>
  <c r="F220" i="25"/>
  <c r="F210" i="25"/>
  <c r="F209" i="25"/>
  <c r="F206" i="25"/>
  <c r="F205" i="25"/>
  <c r="F202" i="25"/>
  <c r="F201" i="25"/>
  <c r="F199" i="25"/>
  <c r="F195" i="25"/>
  <c r="F191" i="25"/>
  <c r="F187" i="25"/>
  <c r="F183" i="25"/>
  <c r="F179" i="25"/>
  <c r="F175" i="25"/>
  <c r="F171" i="25"/>
  <c r="F167" i="25"/>
  <c r="F163" i="25"/>
  <c r="F159" i="25"/>
  <c r="F155" i="25"/>
  <c r="F151" i="25"/>
  <c r="F147" i="25"/>
  <c r="F143" i="25"/>
  <c r="F139" i="25"/>
  <c r="F135" i="25"/>
  <c r="F131" i="25"/>
  <c r="F287" i="25"/>
  <c r="F278" i="25"/>
  <c r="F274" i="25"/>
  <c r="F270" i="25"/>
  <c r="F268" i="25"/>
  <c r="F267" i="25"/>
  <c r="F264" i="25"/>
  <c r="F263" i="25"/>
  <c r="F260" i="25"/>
  <c r="F259" i="25"/>
  <c r="F256" i="25"/>
  <c r="F255" i="25"/>
  <c r="F252" i="25"/>
  <c r="F251" i="25"/>
  <c r="F248" i="25"/>
  <c r="F247" i="25"/>
  <c r="F244" i="25"/>
  <c r="F243" i="25"/>
  <c r="F240" i="25"/>
  <c r="F239" i="25"/>
  <c r="F236" i="25"/>
  <c r="F235" i="25"/>
  <c r="F232" i="25"/>
  <c r="F229" i="25"/>
  <c r="F225" i="25"/>
  <c r="F221" i="25"/>
  <c r="F217" i="25"/>
  <c r="F198" i="25"/>
  <c r="F194" i="25"/>
  <c r="F190" i="25"/>
  <c r="F186" i="25"/>
  <c r="F182" i="25"/>
  <c r="F178" i="25"/>
  <c r="F174" i="25"/>
  <c r="F170" i="25"/>
  <c r="F166" i="25"/>
  <c r="F162" i="25"/>
  <c r="F158" i="25"/>
  <c r="F154" i="25"/>
  <c r="F150" i="25"/>
  <c r="F146" i="25"/>
  <c r="F142" i="25"/>
  <c r="F138" i="25"/>
  <c r="F134" i="25"/>
  <c r="F130" i="25"/>
  <c r="F197" i="25"/>
  <c r="F196" i="25"/>
  <c r="F193" i="25"/>
  <c r="F192" i="25"/>
  <c r="F189" i="25"/>
  <c r="F188" i="25"/>
  <c r="F185" i="25"/>
  <c r="F184" i="25"/>
  <c r="F181" i="25"/>
  <c r="F180" i="25"/>
  <c r="F177" i="25"/>
  <c r="F176" i="25"/>
  <c r="F173" i="25"/>
  <c r="F172" i="25"/>
  <c r="F169" i="25"/>
  <c r="F168" i="25"/>
  <c r="F165" i="25"/>
  <c r="F164" i="25"/>
  <c r="F161" i="25"/>
  <c r="F160" i="25"/>
  <c r="F157" i="25"/>
  <c r="F156" i="25"/>
  <c r="F153" i="25"/>
  <c r="F152" i="25"/>
  <c r="F149" i="25"/>
  <c r="F148" i="25"/>
  <c r="F145" i="25"/>
  <c r="F144" i="25"/>
  <c r="F141" i="25"/>
  <c r="F140" i="25"/>
  <c r="F137" i="25"/>
  <c r="F136" i="25"/>
  <c r="F133" i="25"/>
  <c r="F132" i="25"/>
  <c r="F129" i="25"/>
  <c r="F128" i="25"/>
  <c r="F127" i="25"/>
  <c r="F123" i="25"/>
  <c r="F119" i="25"/>
  <c r="F115" i="25"/>
  <c r="F111" i="25"/>
  <c r="F105" i="25"/>
  <c r="BL105" i="25" s="1"/>
  <c r="F104" i="25"/>
  <c r="BL104" i="25" s="1"/>
  <c r="F103" i="25"/>
  <c r="BL103" i="25" s="1"/>
  <c r="F102" i="25"/>
  <c r="BL102" i="25" s="1"/>
  <c r="F101" i="25"/>
  <c r="BL101" i="25" s="1"/>
  <c r="F100" i="25"/>
  <c r="BL100" i="25" s="1"/>
  <c r="F99" i="25"/>
  <c r="BL99" i="25" s="1"/>
  <c r="F98" i="25"/>
  <c r="BL98" i="25" s="1"/>
  <c r="F97" i="25"/>
  <c r="BL97" i="25" s="1"/>
  <c r="F96" i="25"/>
  <c r="BL96" i="25" s="1"/>
  <c r="F95" i="25"/>
  <c r="BL95" i="25" s="1"/>
  <c r="F94" i="25"/>
  <c r="BL94" i="25" s="1"/>
  <c r="F93" i="25"/>
  <c r="BL93" i="25" s="1"/>
  <c r="F92" i="25"/>
  <c r="BL92" i="25" s="1"/>
  <c r="F91" i="25"/>
  <c r="BL91" i="25" s="1"/>
  <c r="F290" i="25"/>
  <c r="F277" i="25"/>
  <c r="F273" i="25"/>
  <c r="F269" i="25"/>
  <c r="F231" i="25"/>
  <c r="F230" i="25"/>
  <c r="F227" i="25"/>
  <c r="F226" i="25"/>
  <c r="F223" i="25"/>
  <c r="F222" i="25"/>
  <c r="F219" i="25"/>
  <c r="F218" i="25"/>
  <c r="F126" i="25"/>
  <c r="F122" i="25"/>
  <c r="F118" i="25"/>
  <c r="F114" i="25"/>
  <c r="F295" i="25"/>
  <c r="F87" i="25"/>
  <c r="BL87" i="25" s="1"/>
  <c r="F83" i="25"/>
  <c r="BL83" i="25" s="1"/>
  <c r="F79" i="25"/>
  <c r="BL79" i="25" s="1"/>
  <c r="F75" i="25"/>
  <c r="BL75" i="25" s="1"/>
  <c r="F71" i="25"/>
  <c r="BL71" i="25" s="1"/>
  <c r="F67" i="25"/>
  <c r="BL67" i="25" s="1"/>
  <c r="F63" i="25"/>
  <c r="BL63" i="25" s="1"/>
  <c r="F59" i="25"/>
  <c r="BL59" i="25" s="1"/>
  <c r="F55" i="25"/>
  <c r="BL55" i="25" s="1"/>
  <c r="F51" i="25"/>
  <c r="BL51" i="25" s="1"/>
  <c r="F47" i="25"/>
  <c r="BL47" i="25" s="1"/>
  <c r="F43" i="25"/>
  <c r="BL43" i="25" s="1"/>
  <c r="F39" i="25"/>
  <c r="BL39" i="25" s="1"/>
  <c r="F31" i="25"/>
  <c r="BL31" i="25" s="1"/>
  <c r="F27" i="25"/>
  <c r="BL27" i="25" s="1"/>
  <c r="F23" i="25"/>
  <c r="BL23" i="25" s="1"/>
  <c r="F19" i="25"/>
  <c r="BL19" i="25" s="1"/>
  <c r="F15" i="25"/>
  <c r="BL15" i="25" s="1"/>
  <c r="F125" i="25"/>
  <c r="F117" i="25"/>
  <c r="F113" i="25"/>
  <c r="F85" i="25"/>
  <c r="BL85" i="25" s="1"/>
  <c r="F77" i="25"/>
  <c r="BL77" i="25" s="1"/>
  <c r="F73" i="25"/>
  <c r="BL73" i="25" s="1"/>
  <c r="F65" i="25"/>
  <c r="BL65" i="25" s="1"/>
  <c r="F61" i="25"/>
  <c r="BL61" i="25" s="1"/>
  <c r="F57" i="25"/>
  <c r="BL57" i="25" s="1"/>
  <c r="F49" i="25"/>
  <c r="BL49" i="25" s="1"/>
  <c r="F33" i="25"/>
  <c r="BL33" i="25" s="1"/>
  <c r="F29" i="25"/>
  <c r="BL29" i="25" s="1"/>
  <c r="F25" i="25"/>
  <c r="BL25" i="25" s="1"/>
  <c r="F17" i="25"/>
  <c r="BL17" i="25" s="1"/>
  <c r="F13" i="25"/>
  <c r="BL13" i="25" s="1"/>
  <c r="F11" i="25"/>
  <c r="BL11" i="25" s="1"/>
  <c r="F10" i="25"/>
  <c r="BL10" i="25" s="1"/>
  <c r="F9" i="25"/>
  <c r="BL9" i="25" s="1"/>
  <c r="F8" i="25"/>
  <c r="BL8" i="25" s="1"/>
  <c r="F124" i="25"/>
  <c r="F120" i="25"/>
  <c r="F116" i="25"/>
  <c r="F112" i="25"/>
  <c r="F90" i="25"/>
  <c r="BL90" i="25" s="1"/>
  <c r="F86" i="25"/>
  <c r="BL86" i="25" s="1"/>
  <c r="F82" i="25"/>
  <c r="BL82" i="25" s="1"/>
  <c r="F78" i="25"/>
  <c r="BL78" i="25" s="1"/>
  <c r="F74" i="25"/>
  <c r="BL74" i="25" s="1"/>
  <c r="F70" i="25"/>
  <c r="BL70" i="25" s="1"/>
  <c r="F66" i="25"/>
  <c r="BL66" i="25" s="1"/>
  <c r="F62" i="25"/>
  <c r="BL62" i="25" s="1"/>
  <c r="F54" i="25"/>
  <c r="BL54" i="25" s="1"/>
  <c r="F88" i="25"/>
  <c r="BL88" i="25" s="1"/>
  <c r="F84" i="25"/>
  <c r="BL84" i="25" s="1"/>
  <c r="F80" i="25"/>
  <c r="BL80" i="25" s="1"/>
  <c r="F76" i="25"/>
  <c r="BL76" i="25" s="1"/>
  <c r="F72" i="25"/>
  <c r="BL72" i="25" s="1"/>
  <c r="F68" i="25"/>
  <c r="BL68" i="25" s="1"/>
  <c r="F64" i="25"/>
  <c r="BL64" i="25" s="1"/>
  <c r="F60" i="25"/>
  <c r="BL60" i="25" s="1"/>
  <c r="F56" i="25"/>
  <c r="BL56" i="25" s="1"/>
  <c r="F52" i="25"/>
  <c r="BL52" i="25" s="1"/>
  <c r="F48" i="25"/>
  <c r="BL48" i="25" s="1"/>
  <c r="F44" i="25"/>
  <c r="BL44" i="25" s="1"/>
  <c r="F40" i="25"/>
  <c r="BL40" i="25" s="1"/>
  <c r="F32" i="25"/>
  <c r="BL32" i="25" s="1"/>
  <c r="F28" i="25"/>
  <c r="BL28" i="25" s="1"/>
  <c r="F24" i="25"/>
  <c r="BL24" i="25" s="1"/>
  <c r="F20" i="25"/>
  <c r="BL20" i="25" s="1"/>
  <c r="F16" i="25"/>
  <c r="BL16" i="25" s="1"/>
  <c r="F12" i="25"/>
  <c r="BL12" i="25" s="1"/>
  <c r="F121" i="25"/>
  <c r="F89" i="25"/>
  <c r="BL89" i="25" s="1"/>
  <c r="F81" i="25"/>
  <c r="BL81" i="25" s="1"/>
  <c r="F69" i="25"/>
  <c r="BL69" i="25" s="1"/>
  <c r="F53" i="25"/>
  <c r="BL53" i="25" s="1"/>
  <c r="F45" i="25"/>
  <c r="BL45" i="25" s="1"/>
  <c r="F41" i="25"/>
  <c r="BL41" i="25" s="1"/>
  <c r="F21" i="25"/>
  <c r="BL21" i="25" s="1"/>
  <c r="F58" i="25"/>
  <c r="BL58" i="25" s="1"/>
  <c r="F50" i="25"/>
  <c r="BL50" i="25" s="1"/>
  <c r="F46" i="25"/>
  <c r="BL46" i="25" s="1"/>
  <c r="F42" i="25"/>
  <c r="BL42" i="25" s="1"/>
  <c r="F38" i="25"/>
  <c r="BL38" i="25" s="1"/>
  <c r="F37" i="25"/>
  <c r="BL37" i="25" s="1"/>
  <c r="F36" i="25"/>
  <c r="BL36" i="25" s="1"/>
  <c r="F35" i="25"/>
  <c r="BL35" i="25" s="1"/>
  <c r="F34" i="25"/>
  <c r="BL34" i="25" s="1"/>
  <c r="F30" i="25"/>
  <c r="BL30" i="25" s="1"/>
  <c r="F26" i="25"/>
  <c r="BL26" i="25" s="1"/>
  <c r="F22" i="25"/>
  <c r="BL22" i="25" s="1"/>
  <c r="F18" i="25"/>
  <c r="BL18" i="25" s="1"/>
  <c r="F14" i="25"/>
  <c r="BL14" i="25" s="1"/>
  <c r="B93" i="2"/>
  <c r="M180" i="24"/>
  <c r="N180" i="24" s="1"/>
  <c r="K128" i="24"/>
  <c r="K115" i="24"/>
  <c r="B34" i="2"/>
  <c r="B36" i="2" s="1"/>
  <c r="B22" i="2"/>
  <c r="M144" i="24"/>
  <c r="N144" i="24" s="1"/>
  <c r="M113" i="24"/>
  <c r="N113" i="24" s="1"/>
  <c r="K116" i="24"/>
  <c r="K179" i="24"/>
  <c r="M200" i="24"/>
  <c r="N200" i="24" s="1"/>
  <c r="M146" i="24"/>
  <c r="N146" i="24" s="1"/>
  <c r="K188" i="24"/>
  <c r="M193" i="24"/>
  <c r="N193" i="24" s="1"/>
  <c r="K161" i="24"/>
  <c r="M129" i="24"/>
  <c r="N129" i="24" s="1"/>
  <c r="M191" i="24"/>
  <c r="N191" i="24" s="1"/>
  <c r="K187" i="24"/>
  <c r="M126" i="24"/>
  <c r="N126" i="24" s="1"/>
  <c r="K167" i="24"/>
  <c r="M209" i="24"/>
  <c r="N209" i="24" s="1"/>
  <c r="K208" i="24"/>
  <c r="K210" i="24"/>
  <c r="M166" i="24"/>
  <c r="N166" i="24" s="1"/>
  <c r="M120" i="24"/>
  <c r="N120" i="24" s="1"/>
  <c r="K177" i="24"/>
  <c r="M158" i="24"/>
  <c r="N158" i="24" s="1"/>
  <c r="K170" i="24"/>
  <c r="K148" i="24"/>
  <c r="K145" i="24"/>
  <c r="M135" i="24"/>
  <c r="N135" i="24" s="1"/>
  <c r="F17" i="23"/>
  <c r="J17" i="23" s="1"/>
  <c r="M176" i="24"/>
  <c r="N176" i="24" s="1"/>
  <c r="M156" i="24"/>
  <c r="N156" i="24" s="1"/>
  <c r="M118" i="24"/>
  <c r="N118" i="24" s="1"/>
  <c r="K137" i="24"/>
  <c r="M132" i="24"/>
  <c r="N132" i="24" s="1"/>
  <c r="K136" i="24"/>
  <c r="K201" i="24"/>
  <c r="I33" i="23"/>
  <c r="M114" i="24"/>
  <c r="N114" i="24" s="1"/>
  <c r="K194" i="24"/>
  <c r="K206" i="24"/>
  <c r="K163" i="24"/>
  <c r="F54" i="23"/>
  <c r="J54" i="23" s="1"/>
  <c r="M130" i="24"/>
  <c r="N130" i="24" s="1"/>
  <c r="K192" i="24"/>
  <c r="K199" i="24"/>
  <c r="K196" i="24"/>
  <c r="M151" i="24"/>
  <c r="N151" i="24" s="1"/>
  <c r="K172" i="24"/>
  <c r="K123" i="24"/>
  <c r="M175" i="24"/>
  <c r="N175" i="24" s="1"/>
  <c r="K165" i="24"/>
  <c r="K181" i="24"/>
  <c r="K154" i="24"/>
  <c r="M117" i="24"/>
  <c r="N117" i="24" s="1"/>
  <c r="M124" i="24"/>
  <c r="N124" i="24" s="1"/>
  <c r="K142" i="24"/>
  <c r="I9" i="23"/>
  <c r="I70" i="23"/>
  <c r="M168" i="24"/>
  <c r="N168" i="24" s="1"/>
  <c r="M197" i="24"/>
  <c r="N197" i="24" s="1"/>
  <c r="K134" i="24"/>
  <c r="K182" i="24"/>
  <c r="F32" i="23"/>
  <c r="J32" i="23" s="1"/>
  <c r="F49" i="23"/>
  <c r="G49" i="23" s="1"/>
  <c r="H49" i="23" s="1"/>
  <c r="M153" i="24"/>
  <c r="N153" i="24" s="1"/>
  <c r="K131" i="24"/>
  <c r="M178" i="24"/>
  <c r="N178" i="24" s="1"/>
  <c r="K125" i="24"/>
  <c r="M202" i="24"/>
  <c r="N202" i="24" s="1"/>
  <c r="F103" i="23"/>
  <c r="G103" i="23" s="1"/>
  <c r="H103" i="23" s="1"/>
  <c r="F53" i="23"/>
  <c r="J53" i="23" s="1"/>
  <c r="K169" i="24"/>
  <c r="M198" i="24"/>
  <c r="N198" i="24" s="1"/>
  <c r="K150" i="24"/>
  <c r="K119" i="24"/>
  <c r="K110" i="24"/>
  <c r="K152" i="24"/>
  <c r="I16" i="23"/>
  <c r="F46" i="23"/>
  <c r="J46" i="23" s="1"/>
  <c r="I43" i="23"/>
  <c r="I36" i="23"/>
  <c r="F67" i="23"/>
  <c r="G67" i="23" s="1"/>
  <c r="H67" i="23" s="1"/>
  <c r="K155" i="24"/>
  <c r="K159" i="24"/>
  <c r="M127" i="24"/>
  <c r="N127" i="24" s="1"/>
  <c r="M121" i="24"/>
  <c r="N121" i="24" s="1"/>
  <c r="M147" i="24"/>
  <c r="N147" i="24" s="1"/>
  <c r="M190" i="24"/>
  <c r="N190" i="24" s="1"/>
  <c r="M173" i="24"/>
  <c r="N173" i="24" s="1"/>
  <c r="M164" i="24"/>
  <c r="N164" i="24" s="1"/>
  <c r="K162" i="24"/>
  <c r="I59" i="23"/>
  <c r="F30" i="23"/>
  <c r="J30" i="23" s="1"/>
  <c r="F88" i="23"/>
  <c r="G88" i="23" s="1"/>
  <c r="H88" i="23" s="1"/>
  <c r="I78" i="23"/>
  <c r="K122" i="24"/>
  <c r="M185" i="24"/>
  <c r="N185" i="24" s="1"/>
  <c r="M140" i="24"/>
  <c r="N140" i="24" s="1"/>
  <c r="M189" i="24"/>
  <c r="N189" i="24" s="1"/>
  <c r="I27" i="23"/>
  <c r="I75" i="23"/>
  <c r="F73" i="23"/>
  <c r="J73" i="23" s="1"/>
  <c r="F71" i="23"/>
  <c r="J71" i="23" s="1"/>
  <c r="I48" i="23"/>
  <c r="F84" i="23"/>
  <c r="G84" i="23" s="1"/>
  <c r="H84" i="23" s="1"/>
  <c r="F6" i="23"/>
  <c r="J6" i="23" s="1"/>
  <c r="F25" i="23"/>
  <c r="J25" i="23" s="1"/>
  <c r="I23" i="23"/>
  <c r="F60" i="23"/>
  <c r="G60" i="23" s="1"/>
  <c r="H60" i="23" s="1"/>
  <c r="I38" i="23"/>
  <c r="I62" i="23"/>
  <c r="K149" i="24"/>
  <c r="M111" i="24"/>
  <c r="N111" i="24" s="1"/>
  <c r="M138" i="24"/>
  <c r="N138" i="24" s="1"/>
  <c r="K112" i="24"/>
  <c r="K207" i="24"/>
  <c r="M171" i="24"/>
  <c r="N171" i="24" s="1"/>
  <c r="K157" i="24"/>
  <c r="M184" i="24"/>
  <c r="N184" i="24" s="1"/>
  <c r="K203" i="24"/>
  <c r="M133" i="24"/>
  <c r="N133" i="24" s="1"/>
  <c r="M143" i="24"/>
  <c r="N143" i="24" s="1"/>
  <c r="F105" i="23"/>
  <c r="J105" i="23" s="1"/>
  <c r="F94" i="23"/>
  <c r="J94" i="23" s="1"/>
  <c r="I41" i="23"/>
  <c r="F92" i="23"/>
  <c r="J92" i="23" s="1"/>
  <c r="M204" i="24"/>
  <c r="N204" i="24" s="1"/>
  <c r="M139" i="24"/>
  <c r="N139" i="24" s="1"/>
  <c r="M174" i="24"/>
  <c r="N174" i="24" s="1"/>
  <c r="M160" i="24"/>
  <c r="N160" i="24" s="1"/>
  <c r="K205" i="24"/>
  <c r="M195" i="24"/>
  <c r="N195" i="24" s="1"/>
  <c r="M141" i="24"/>
  <c r="N141" i="24" s="1"/>
  <c r="A226" i="2"/>
  <c r="C226" i="2"/>
  <c r="I11" i="23"/>
  <c r="F101" i="23"/>
  <c r="J101" i="23" s="1"/>
  <c r="F20" i="23"/>
  <c r="G20" i="23" s="1"/>
  <c r="H20" i="23" s="1"/>
  <c r="F81" i="23"/>
  <c r="J81" i="23" s="1"/>
  <c r="F14" i="23"/>
  <c r="J14" i="23" s="1"/>
  <c r="F22" i="23"/>
  <c r="J22" i="23" s="1"/>
  <c r="F63" i="23"/>
  <c r="G63" i="23" s="1"/>
  <c r="H63" i="23" s="1"/>
  <c r="K186" i="24"/>
  <c r="K183" i="24"/>
  <c r="F219" i="24"/>
  <c r="F223" i="24"/>
  <c r="F227" i="24"/>
  <c r="F231" i="24"/>
  <c r="F235" i="24"/>
  <c r="F239" i="24"/>
  <c r="F243" i="24"/>
  <c r="F247" i="24"/>
  <c r="F251" i="24"/>
  <c r="F255" i="24"/>
  <c r="F259" i="24"/>
  <c r="F263" i="24"/>
  <c r="F267" i="24"/>
  <c r="F271" i="24"/>
  <c r="F275" i="24"/>
  <c r="F279" i="24"/>
  <c r="F283" i="24"/>
  <c r="F287" i="24"/>
  <c r="F291" i="24"/>
  <c r="F295" i="24"/>
  <c r="F299" i="24"/>
  <c r="F303" i="24"/>
  <c r="F307" i="24"/>
  <c r="F311" i="24"/>
  <c r="F315" i="24"/>
  <c r="F132" i="24"/>
  <c r="F136" i="24"/>
  <c r="F140" i="24"/>
  <c r="F144" i="24"/>
  <c r="F148" i="24"/>
  <c r="F152" i="24"/>
  <c r="F156" i="24"/>
  <c r="F160" i="24"/>
  <c r="F164" i="24"/>
  <c r="F168" i="24"/>
  <c r="F172" i="24"/>
  <c r="F176" i="24"/>
  <c r="F180" i="24"/>
  <c r="F184" i="24"/>
  <c r="F188" i="24"/>
  <c r="F192" i="24"/>
  <c r="F196" i="24"/>
  <c r="F200" i="24"/>
  <c r="F204" i="24"/>
  <c r="F208" i="24"/>
  <c r="F114" i="24"/>
  <c r="F118" i="24"/>
  <c r="F122" i="24"/>
  <c r="F126" i="24"/>
  <c r="F130" i="24"/>
  <c r="F157" i="24"/>
  <c r="F161" i="24"/>
  <c r="F169" i="24"/>
  <c r="F177" i="24"/>
  <c r="F181" i="24"/>
  <c r="F189" i="24"/>
  <c r="F193" i="24"/>
  <c r="F201" i="24"/>
  <c r="F205" i="24"/>
  <c r="F115" i="24"/>
  <c r="F119" i="24"/>
  <c r="F127" i="24"/>
  <c r="F112" i="24"/>
  <c r="F194" i="24"/>
  <c r="F206" i="24"/>
  <c r="F210" i="24"/>
  <c r="F124" i="24"/>
  <c r="F128" i="24"/>
  <c r="F222" i="24"/>
  <c r="F234" i="24"/>
  <c r="F246" i="24"/>
  <c r="F258" i="24"/>
  <c r="F270" i="24"/>
  <c r="F274" i="24"/>
  <c r="F286" i="24"/>
  <c r="F298" i="24"/>
  <c r="F302" i="24"/>
  <c r="F314" i="24"/>
  <c r="F217" i="24"/>
  <c r="F135" i="24"/>
  <c r="F143" i="24"/>
  <c r="F151" i="24"/>
  <c r="F159" i="24"/>
  <c r="F171" i="24"/>
  <c r="F175" i="24"/>
  <c r="F220" i="24"/>
  <c r="F224" i="24"/>
  <c r="F228" i="24"/>
  <c r="F232" i="24"/>
  <c r="F236" i="24"/>
  <c r="F240" i="24"/>
  <c r="F244" i="24"/>
  <c r="F248" i="24"/>
  <c r="F252" i="24"/>
  <c r="F256" i="24"/>
  <c r="F260" i="24"/>
  <c r="F264" i="24"/>
  <c r="F268" i="24"/>
  <c r="F272" i="24"/>
  <c r="F276" i="24"/>
  <c r="F280" i="24"/>
  <c r="F284" i="24"/>
  <c r="F288" i="24"/>
  <c r="F292" i="24"/>
  <c r="F296" i="24"/>
  <c r="F300" i="24"/>
  <c r="F304" i="24"/>
  <c r="F308" i="24"/>
  <c r="F312" i="24"/>
  <c r="F316" i="24"/>
  <c r="F133" i="24"/>
  <c r="F137" i="24"/>
  <c r="F141" i="24"/>
  <c r="F145" i="24"/>
  <c r="F149" i="24"/>
  <c r="F153" i="24"/>
  <c r="F165" i="24"/>
  <c r="F173" i="24"/>
  <c r="F185" i="24"/>
  <c r="F197" i="24"/>
  <c r="F209" i="24"/>
  <c r="F123" i="24"/>
  <c r="F190" i="24"/>
  <c r="F198" i="24"/>
  <c r="F116" i="24"/>
  <c r="F230" i="24"/>
  <c r="F238" i="24"/>
  <c r="F254" i="24"/>
  <c r="F266" i="24"/>
  <c r="F278" i="24"/>
  <c r="F290" i="24"/>
  <c r="F306" i="24"/>
  <c r="F139" i="24"/>
  <c r="F155" i="24"/>
  <c r="F167" i="24"/>
  <c r="F183" i="24"/>
  <c r="F221" i="24"/>
  <c r="F225" i="24"/>
  <c r="F229" i="24"/>
  <c r="F233" i="24"/>
  <c r="F237" i="24"/>
  <c r="F241" i="24"/>
  <c r="F245" i="24"/>
  <c r="F249" i="24"/>
  <c r="F253" i="24"/>
  <c r="F257" i="24"/>
  <c r="F261" i="24"/>
  <c r="F265" i="24"/>
  <c r="F269" i="24"/>
  <c r="F273" i="24"/>
  <c r="F277" i="24"/>
  <c r="F281" i="24"/>
  <c r="F285" i="24"/>
  <c r="F289" i="24"/>
  <c r="F293" i="24"/>
  <c r="F297" i="24"/>
  <c r="F301" i="24"/>
  <c r="F305" i="24"/>
  <c r="F309" i="24"/>
  <c r="F313" i="24"/>
  <c r="F218" i="24"/>
  <c r="F134" i="24"/>
  <c r="F138" i="24"/>
  <c r="F142" i="24"/>
  <c r="F146" i="24"/>
  <c r="F150" i="24"/>
  <c r="F154" i="24"/>
  <c r="F158" i="24"/>
  <c r="F162" i="24"/>
  <c r="F166" i="24"/>
  <c r="F170" i="24"/>
  <c r="F174" i="24"/>
  <c r="F178" i="24"/>
  <c r="F182" i="24"/>
  <c r="F186" i="24"/>
  <c r="F202" i="24"/>
  <c r="F120" i="24"/>
  <c r="F111" i="24"/>
  <c r="F226" i="24"/>
  <c r="F242" i="24"/>
  <c r="F250" i="24"/>
  <c r="F262" i="24"/>
  <c r="F282" i="24"/>
  <c r="F294" i="24"/>
  <c r="F310" i="24"/>
  <c r="F131" i="24"/>
  <c r="F147" i="24"/>
  <c r="F163" i="24"/>
  <c r="F179" i="24"/>
  <c r="F191" i="24"/>
  <c r="F207" i="24"/>
  <c r="F125" i="24"/>
  <c r="F129" i="24"/>
  <c r="F121" i="24"/>
  <c r="F195" i="24"/>
  <c r="F113" i="24"/>
  <c r="F203" i="24"/>
  <c r="F199" i="24"/>
  <c r="F117" i="24"/>
  <c r="F187" i="24"/>
  <c r="I99" i="23"/>
  <c r="F80" i="23"/>
  <c r="J80" i="23" s="1"/>
  <c r="I31" i="23"/>
  <c r="I96" i="23"/>
  <c r="F77" i="23"/>
  <c r="G77" i="23" s="1"/>
  <c r="H77" i="23" s="1"/>
  <c r="I56" i="23"/>
  <c r="I86" i="23"/>
  <c r="K312" i="24"/>
  <c r="M312" i="24"/>
  <c r="N312" i="24" s="1"/>
  <c r="K276" i="24"/>
  <c r="M276" i="24"/>
  <c r="N276" i="24" s="1"/>
  <c r="K244" i="24"/>
  <c r="M244" i="24"/>
  <c r="N244" i="24" s="1"/>
  <c r="M315" i="24"/>
  <c r="N315" i="24" s="1"/>
  <c r="K315" i="24"/>
  <c r="M279" i="24"/>
  <c r="N279" i="24" s="1"/>
  <c r="Q279" i="24" s="1"/>
  <c r="K279" i="24"/>
  <c r="K247" i="24"/>
  <c r="M247" i="24"/>
  <c r="N247" i="24" s="1"/>
  <c r="M223" i="24"/>
  <c r="N223" i="24" s="1"/>
  <c r="K223" i="24"/>
  <c r="K302" i="24"/>
  <c r="M302" i="24"/>
  <c r="N302" i="24" s="1"/>
  <c r="K286" i="24"/>
  <c r="M286" i="24"/>
  <c r="N286" i="24" s="1"/>
  <c r="M270" i="24"/>
  <c r="N270" i="24" s="1"/>
  <c r="K270" i="24"/>
  <c r="M254" i="24"/>
  <c r="N254" i="24" s="1"/>
  <c r="K254" i="24"/>
  <c r="M238" i="24"/>
  <c r="N238" i="24" s="1"/>
  <c r="K238" i="24"/>
  <c r="K222" i="24"/>
  <c r="M222" i="24"/>
  <c r="N222" i="24" s="1"/>
  <c r="K296" i="24"/>
  <c r="M296" i="24"/>
  <c r="N296" i="24" s="1"/>
  <c r="M264" i="24"/>
  <c r="N264" i="24" s="1"/>
  <c r="K264" i="24"/>
  <c r="M232" i="24"/>
  <c r="N232" i="24" s="1"/>
  <c r="K232" i="24"/>
  <c r="M299" i="24"/>
  <c r="N299" i="24" s="1"/>
  <c r="K299" i="24"/>
  <c r="M267" i="24"/>
  <c r="N267" i="24" s="1"/>
  <c r="K267" i="24"/>
  <c r="K235" i="24"/>
  <c r="M235" i="24"/>
  <c r="N235" i="24" s="1"/>
  <c r="Q235" i="24" s="1"/>
  <c r="K309" i="24"/>
  <c r="M309" i="24"/>
  <c r="N309" i="24" s="1"/>
  <c r="Q309" i="24" s="1"/>
  <c r="K293" i="24"/>
  <c r="M293" i="24"/>
  <c r="N293" i="24" s="1"/>
  <c r="K277" i="24"/>
  <c r="M277" i="24"/>
  <c r="N277" i="24" s="1"/>
  <c r="M261" i="24"/>
  <c r="N261" i="24" s="1"/>
  <c r="K261" i="24"/>
  <c r="M245" i="24"/>
  <c r="N245" i="24" s="1"/>
  <c r="K245" i="24"/>
  <c r="M229" i="24"/>
  <c r="N229" i="24" s="1"/>
  <c r="K229" i="24"/>
  <c r="M304" i="24"/>
  <c r="N304" i="24" s="1"/>
  <c r="K304" i="24"/>
  <c r="K268" i="24"/>
  <c r="M268" i="24"/>
  <c r="N268" i="24" s="1"/>
  <c r="K236" i="24"/>
  <c r="M236" i="24"/>
  <c r="N236" i="24" s="1"/>
  <c r="M307" i="24"/>
  <c r="N307" i="24" s="1"/>
  <c r="K307" i="24"/>
  <c r="K271" i="24"/>
  <c r="M271" i="24"/>
  <c r="N271" i="24" s="1"/>
  <c r="M239" i="24"/>
  <c r="N239" i="24" s="1"/>
  <c r="K239" i="24"/>
  <c r="K314" i="24"/>
  <c r="M314" i="24"/>
  <c r="N314" i="24" s="1"/>
  <c r="K298" i="24"/>
  <c r="M298" i="24"/>
  <c r="N298" i="24" s="1"/>
  <c r="K282" i="24"/>
  <c r="M282" i="24"/>
  <c r="N282" i="24" s="1"/>
  <c r="M266" i="24"/>
  <c r="N266" i="24" s="1"/>
  <c r="K266" i="24"/>
  <c r="K250" i="24"/>
  <c r="M250" i="24"/>
  <c r="N250" i="24" s="1"/>
  <c r="K234" i="24"/>
  <c r="M234" i="24"/>
  <c r="N234" i="24" s="1"/>
  <c r="M218" i="24"/>
  <c r="N218" i="24" s="1"/>
  <c r="K218" i="24"/>
  <c r="M288" i="24"/>
  <c r="N288" i="24" s="1"/>
  <c r="K288" i="24"/>
  <c r="K256" i="24"/>
  <c r="M256" i="24"/>
  <c r="N256" i="24" s="1"/>
  <c r="Q256" i="24" s="1"/>
  <c r="K224" i="24"/>
  <c r="M224" i="24"/>
  <c r="N224" i="24" s="1"/>
  <c r="K291" i="24"/>
  <c r="M291" i="24"/>
  <c r="N291" i="24" s="1"/>
  <c r="Q291" i="24" s="1"/>
  <c r="M259" i="24"/>
  <c r="N259" i="24" s="1"/>
  <c r="K259" i="24"/>
  <c r="K219" i="24"/>
  <c r="M219" i="24"/>
  <c r="N219" i="24" s="1"/>
  <c r="K305" i="24"/>
  <c r="M305" i="24"/>
  <c r="N305" i="24" s="1"/>
  <c r="M289" i="24"/>
  <c r="N289" i="24" s="1"/>
  <c r="Q289" i="24" s="1"/>
  <c r="K289" i="24"/>
  <c r="K273" i="24"/>
  <c r="M273" i="24"/>
  <c r="N273" i="24" s="1"/>
  <c r="M257" i="24"/>
  <c r="N257" i="24" s="1"/>
  <c r="K257" i="24"/>
  <c r="M241" i="24"/>
  <c r="N241" i="24" s="1"/>
  <c r="K241" i="24"/>
  <c r="M225" i="24"/>
  <c r="N225" i="24" s="1"/>
  <c r="Q225" i="24" s="1"/>
  <c r="K225" i="24"/>
  <c r="M292" i="24"/>
  <c r="N292" i="24" s="1"/>
  <c r="K292" i="24"/>
  <c r="M260" i="24"/>
  <c r="N260" i="24" s="1"/>
  <c r="K260" i="24"/>
  <c r="M228" i="24"/>
  <c r="N228" i="24" s="1"/>
  <c r="Q228" i="24" s="1"/>
  <c r="K228" i="24"/>
  <c r="M295" i="24"/>
  <c r="N295" i="24" s="1"/>
  <c r="K295" i="24"/>
  <c r="M263" i="24"/>
  <c r="N263" i="24" s="1"/>
  <c r="Q263" i="24" s="1"/>
  <c r="K263" i="24"/>
  <c r="K231" i="24"/>
  <c r="M231" i="24"/>
  <c r="N231" i="24" s="1"/>
  <c r="K310" i="24"/>
  <c r="M310" i="24"/>
  <c r="N310" i="24" s="1"/>
  <c r="Q310" i="24" s="1"/>
  <c r="K294" i="24"/>
  <c r="M294" i="24"/>
  <c r="N294" i="24" s="1"/>
  <c r="M278" i="24"/>
  <c r="N278" i="24" s="1"/>
  <c r="K278" i="24"/>
  <c r="K262" i="24"/>
  <c r="M262" i="24"/>
  <c r="N262" i="24" s="1"/>
  <c r="K246" i="24"/>
  <c r="M246" i="24"/>
  <c r="N246" i="24" s="1"/>
  <c r="M230" i="24"/>
  <c r="N230" i="24" s="1"/>
  <c r="K230" i="24"/>
  <c r="K308" i="24"/>
  <c r="M308" i="24"/>
  <c r="N308" i="24" s="1"/>
  <c r="M280" i="24"/>
  <c r="N280" i="24" s="1"/>
  <c r="K280" i="24"/>
  <c r="K248" i="24"/>
  <c r="M248" i="24"/>
  <c r="N248" i="24" s="1"/>
  <c r="K311" i="24"/>
  <c r="M311" i="24"/>
  <c r="N311" i="24" s="1"/>
  <c r="K283" i="24"/>
  <c r="M283" i="24"/>
  <c r="N283" i="24" s="1"/>
  <c r="Q283" i="24" s="1"/>
  <c r="K251" i="24"/>
  <c r="M251" i="24"/>
  <c r="N251" i="24" s="1"/>
  <c r="K216" i="24"/>
  <c r="M216" i="24"/>
  <c r="K301" i="24"/>
  <c r="M301" i="24"/>
  <c r="N301" i="24" s="1"/>
  <c r="M285" i="24"/>
  <c r="N285" i="24" s="1"/>
  <c r="K285" i="24"/>
  <c r="K269" i="24"/>
  <c r="M269" i="24"/>
  <c r="N269" i="24" s="1"/>
  <c r="M253" i="24"/>
  <c r="N253" i="24" s="1"/>
  <c r="K253" i="24"/>
  <c r="K237" i="24"/>
  <c r="M237" i="24"/>
  <c r="N237" i="24" s="1"/>
  <c r="M221" i="24"/>
  <c r="N221" i="24" s="1"/>
  <c r="K221" i="24"/>
  <c r="I98" i="23"/>
  <c r="K316" i="24"/>
  <c r="M316" i="24"/>
  <c r="N316" i="24" s="1"/>
  <c r="K284" i="24"/>
  <c r="M284" i="24"/>
  <c r="N284" i="24" s="1"/>
  <c r="M252" i="24"/>
  <c r="N252" i="24" s="1"/>
  <c r="K252" i="24"/>
  <c r="M220" i="24"/>
  <c r="N220" i="24" s="1"/>
  <c r="K220" i="24"/>
  <c r="M287" i="24"/>
  <c r="N287" i="24" s="1"/>
  <c r="K287" i="24"/>
  <c r="K255" i="24"/>
  <c r="M255" i="24"/>
  <c r="N255" i="24" s="1"/>
  <c r="Q255" i="24" s="1"/>
  <c r="K227" i="24"/>
  <c r="M227" i="24"/>
  <c r="N227" i="24" s="1"/>
  <c r="K306" i="24"/>
  <c r="M306" i="24"/>
  <c r="N306" i="24" s="1"/>
  <c r="M290" i="24"/>
  <c r="N290" i="24" s="1"/>
  <c r="K290" i="24"/>
  <c r="K274" i="24"/>
  <c r="M274" i="24"/>
  <c r="N274" i="24" s="1"/>
  <c r="Q274" i="24" s="1"/>
  <c r="M258" i="24"/>
  <c r="N258" i="24" s="1"/>
  <c r="K258" i="24"/>
  <c r="M242" i="24"/>
  <c r="N242" i="24" s="1"/>
  <c r="K242" i="24"/>
  <c r="M226" i="24"/>
  <c r="N226" i="24" s="1"/>
  <c r="K226" i="24"/>
  <c r="K300" i="24"/>
  <c r="M300" i="24"/>
  <c r="N300" i="24" s="1"/>
  <c r="Q300" i="24" s="1"/>
  <c r="M272" i="24"/>
  <c r="N272" i="24" s="1"/>
  <c r="Q272" i="24" s="1"/>
  <c r="K272" i="24"/>
  <c r="K240" i="24"/>
  <c r="M240" i="24"/>
  <c r="N240" i="24" s="1"/>
  <c r="K303" i="24"/>
  <c r="M303" i="24"/>
  <c r="N303" i="24" s="1"/>
  <c r="K275" i="24"/>
  <c r="M275" i="24"/>
  <c r="N275" i="24" s="1"/>
  <c r="M243" i="24"/>
  <c r="N243" i="24" s="1"/>
  <c r="K243" i="24"/>
  <c r="K313" i="24"/>
  <c r="M313" i="24"/>
  <c r="N313" i="24" s="1"/>
  <c r="M297" i="24"/>
  <c r="N297" i="24" s="1"/>
  <c r="K297" i="24"/>
  <c r="M281" i="24"/>
  <c r="N281" i="24" s="1"/>
  <c r="K281" i="24"/>
  <c r="K265" i="24"/>
  <c r="M265" i="24"/>
  <c r="N265" i="24" s="1"/>
  <c r="Q265" i="24" s="1"/>
  <c r="K249" i="24"/>
  <c r="M249" i="24"/>
  <c r="N249" i="24" s="1"/>
  <c r="K233" i="24"/>
  <c r="M233" i="24"/>
  <c r="N233" i="24" s="1"/>
  <c r="K217" i="24"/>
  <c r="M217" i="24"/>
  <c r="N217" i="24" s="1"/>
  <c r="H109" i="19"/>
  <c r="H110" i="19" s="1"/>
  <c r="F6" i="24"/>
  <c r="BN6" i="24" s="1"/>
  <c r="F10" i="24"/>
  <c r="BN10" i="24" s="1"/>
  <c r="F14" i="24"/>
  <c r="BN14" i="24" s="1"/>
  <c r="F18" i="24"/>
  <c r="BN18" i="24" s="1"/>
  <c r="F22" i="24"/>
  <c r="BN22" i="24" s="1"/>
  <c r="F26" i="24"/>
  <c r="BN26" i="24" s="1"/>
  <c r="F30" i="24"/>
  <c r="BN30" i="24" s="1"/>
  <c r="F34" i="24"/>
  <c r="BN34" i="24" s="1"/>
  <c r="F38" i="24"/>
  <c r="BN38" i="24" s="1"/>
  <c r="F42" i="24"/>
  <c r="BN42" i="24" s="1"/>
  <c r="F46" i="24"/>
  <c r="BN46" i="24" s="1"/>
  <c r="F50" i="24"/>
  <c r="BN50" i="24" s="1"/>
  <c r="F54" i="24"/>
  <c r="BN54" i="24" s="1"/>
  <c r="F58" i="24"/>
  <c r="BN58" i="24" s="1"/>
  <c r="F62" i="24"/>
  <c r="BN62" i="24" s="1"/>
  <c r="F66" i="24"/>
  <c r="BN66" i="24" s="1"/>
  <c r="F70" i="24"/>
  <c r="BN70" i="24" s="1"/>
  <c r="F74" i="24"/>
  <c r="BN74" i="24" s="1"/>
  <c r="F78" i="24"/>
  <c r="BN78" i="24" s="1"/>
  <c r="F82" i="24"/>
  <c r="BN82" i="24" s="1"/>
  <c r="F86" i="24"/>
  <c r="BN86" i="24" s="1"/>
  <c r="F90" i="24"/>
  <c r="BN90" i="24" s="1"/>
  <c r="F94" i="24"/>
  <c r="BN94" i="24" s="1"/>
  <c r="F98" i="24"/>
  <c r="BN98" i="24" s="1"/>
  <c r="F102" i="24"/>
  <c r="BN102" i="24" s="1"/>
  <c r="F41" i="24"/>
  <c r="BN41" i="24" s="1"/>
  <c r="F53" i="24"/>
  <c r="BN53" i="24" s="1"/>
  <c r="F69" i="24"/>
  <c r="BN69" i="24" s="1"/>
  <c r="F81" i="24"/>
  <c r="BN81" i="24" s="1"/>
  <c r="F93" i="24"/>
  <c r="BN93" i="24" s="1"/>
  <c r="F7" i="24"/>
  <c r="BN7" i="24" s="1"/>
  <c r="F11" i="24"/>
  <c r="BN11" i="24" s="1"/>
  <c r="F15" i="24"/>
  <c r="BN15" i="24" s="1"/>
  <c r="F19" i="24"/>
  <c r="BN19" i="24" s="1"/>
  <c r="F23" i="24"/>
  <c r="BN23" i="24" s="1"/>
  <c r="F27" i="24"/>
  <c r="BN27" i="24" s="1"/>
  <c r="F31" i="24"/>
  <c r="BN31" i="24" s="1"/>
  <c r="F35" i="24"/>
  <c r="BN35" i="24" s="1"/>
  <c r="F39" i="24"/>
  <c r="BN39" i="24" s="1"/>
  <c r="F43" i="24"/>
  <c r="BN43" i="24" s="1"/>
  <c r="F47" i="24"/>
  <c r="BN47" i="24" s="1"/>
  <c r="F51" i="24"/>
  <c r="BN51" i="24" s="1"/>
  <c r="F55" i="24"/>
  <c r="BN55" i="24" s="1"/>
  <c r="F59" i="24"/>
  <c r="BN59" i="24" s="1"/>
  <c r="F63" i="24"/>
  <c r="BN63" i="24" s="1"/>
  <c r="F67" i="24"/>
  <c r="BN67" i="24" s="1"/>
  <c r="F71" i="24"/>
  <c r="BN71" i="24" s="1"/>
  <c r="F75" i="24"/>
  <c r="BN75" i="24" s="1"/>
  <c r="F79" i="24"/>
  <c r="BN79" i="24" s="1"/>
  <c r="F83" i="24"/>
  <c r="BN83" i="24" s="1"/>
  <c r="F87" i="24"/>
  <c r="BN87" i="24" s="1"/>
  <c r="F91" i="24"/>
  <c r="BN91" i="24" s="1"/>
  <c r="F95" i="24"/>
  <c r="BN95" i="24" s="1"/>
  <c r="F99" i="24"/>
  <c r="BN99" i="24" s="1"/>
  <c r="F103" i="24"/>
  <c r="BN103" i="24" s="1"/>
  <c r="F37" i="24"/>
  <c r="BN37" i="24" s="1"/>
  <c r="F61" i="24"/>
  <c r="BN61" i="24" s="1"/>
  <c r="F73" i="24"/>
  <c r="BN73" i="24" s="1"/>
  <c r="F89" i="24"/>
  <c r="BN89" i="24" s="1"/>
  <c r="F101" i="24"/>
  <c r="BN101" i="24" s="1"/>
  <c r="F8" i="24"/>
  <c r="BN8" i="24" s="1"/>
  <c r="F12" i="24"/>
  <c r="BN12" i="24" s="1"/>
  <c r="F16" i="24"/>
  <c r="BN16" i="24" s="1"/>
  <c r="F20" i="24"/>
  <c r="BN20" i="24" s="1"/>
  <c r="F24" i="24"/>
  <c r="BN24" i="24" s="1"/>
  <c r="F28" i="24"/>
  <c r="BN28" i="24" s="1"/>
  <c r="F32" i="24"/>
  <c r="BN32" i="24" s="1"/>
  <c r="F36" i="24"/>
  <c r="BN36" i="24" s="1"/>
  <c r="F40" i="24"/>
  <c r="BN40" i="24" s="1"/>
  <c r="F44" i="24"/>
  <c r="BN44" i="24" s="1"/>
  <c r="F48" i="24"/>
  <c r="BN48" i="24" s="1"/>
  <c r="F52" i="24"/>
  <c r="BN52" i="24" s="1"/>
  <c r="F56" i="24"/>
  <c r="BN56" i="24" s="1"/>
  <c r="F60" i="24"/>
  <c r="BN60" i="24" s="1"/>
  <c r="F64" i="24"/>
  <c r="BN64" i="24" s="1"/>
  <c r="F68" i="24"/>
  <c r="BN68" i="24" s="1"/>
  <c r="F72" i="24"/>
  <c r="BN72" i="24" s="1"/>
  <c r="F76" i="24"/>
  <c r="BN76" i="24" s="1"/>
  <c r="F80" i="24"/>
  <c r="BN80" i="24" s="1"/>
  <c r="F84" i="24"/>
  <c r="BN84" i="24" s="1"/>
  <c r="F88" i="24"/>
  <c r="BN88" i="24" s="1"/>
  <c r="F92" i="24"/>
  <c r="BN92" i="24" s="1"/>
  <c r="F96" i="24"/>
  <c r="BN96" i="24" s="1"/>
  <c r="F100" i="24"/>
  <c r="BN100" i="24" s="1"/>
  <c r="F104" i="24"/>
  <c r="BN104" i="24" s="1"/>
  <c r="F9" i="24"/>
  <c r="BN9" i="24" s="1"/>
  <c r="F13" i="24"/>
  <c r="BN13" i="24" s="1"/>
  <c r="F17" i="24"/>
  <c r="BN17" i="24" s="1"/>
  <c r="F21" i="24"/>
  <c r="BN21" i="24" s="1"/>
  <c r="F25" i="24"/>
  <c r="BN25" i="24" s="1"/>
  <c r="F29" i="24"/>
  <c r="BN29" i="24" s="1"/>
  <c r="F33" i="24"/>
  <c r="BN33" i="24" s="1"/>
  <c r="F45" i="24"/>
  <c r="BN45" i="24" s="1"/>
  <c r="F49" i="24"/>
  <c r="BN49" i="24" s="1"/>
  <c r="F57" i="24"/>
  <c r="BN57" i="24" s="1"/>
  <c r="F65" i="24"/>
  <c r="BN65" i="24" s="1"/>
  <c r="F77" i="24"/>
  <c r="BN77" i="24" s="1"/>
  <c r="F85" i="24"/>
  <c r="BN85" i="24" s="1"/>
  <c r="F97" i="24"/>
  <c r="BN97" i="24" s="1"/>
  <c r="F105" i="24"/>
  <c r="BN105" i="24" s="1"/>
  <c r="F52" i="23"/>
  <c r="J52" i="23" s="1"/>
  <c r="F102" i="23"/>
  <c r="J102" i="23" s="1"/>
  <c r="J79" i="23"/>
  <c r="J7" i="23"/>
  <c r="J106" i="23"/>
  <c r="I87" i="23"/>
  <c r="I8" i="23"/>
  <c r="I106" i="23"/>
  <c r="J31" i="23"/>
  <c r="J99" i="23"/>
  <c r="J56" i="23"/>
  <c r="J27" i="23"/>
  <c r="J96" i="23"/>
  <c r="J86" i="23"/>
  <c r="J70" i="23"/>
  <c r="J38" i="23"/>
  <c r="J33" i="23"/>
  <c r="J69" i="23"/>
  <c r="J89" i="23"/>
  <c r="J44" i="23"/>
  <c r="F12" i="23"/>
  <c r="J12" i="23" s="1"/>
  <c r="J39" i="23"/>
  <c r="I76" i="23"/>
  <c r="J76" i="23"/>
  <c r="F24" i="23"/>
  <c r="G24" i="23" s="1"/>
  <c r="H24" i="23" s="1"/>
  <c r="J98" i="23"/>
  <c r="I50" i="23"/>
  <c r="F34" i="23"/>
  <c r="J34" i="23" s="1"/>
  <c r="F13" i="23"/>
  <c r="J13" i="23" s="1"/>
  <c r="F85" i="23"/>
  <c r="J85" i="23" s="1"/>
  <c r="F87" i="23"/>
  <c r="J87" i="23" s="1"/>
  <c r="I55" i="23"/>
  <c r="F26" i="23"/>
  <c r="J26" i="23" s="1"/>
  <c r="F61" i="23"/>
  <c r="J61" i="23" s="1"/>
  <c r="I90" i="23"/>
  <c r="J59" i="23"/>
  <c r="J36" i="23"/>
  <c r="J43" i="23"/>
  <c r="J11" i="23"/>
  <c r="J75" i="23"/>
  <c r="J23" i="23"/>
  <c r="J48" i="23"/>
  <c r="J16" i="23"/>
  <c r="J78" i="23"/>
  <c r="J62" i="23"/>
  <c r="J41" i="23"/>
  <c r="J9" i="23"/>
  <c r="N91" i="23"/>
  <c r="O91" i="23" s="1"/>
  <c r="P91" i="23" s="1"/>
  <c r="N47" i="23"/>
  <c r="O47" i="23" s="1"/>
  <c r="P47" i="23" s="1"/>
  <c r="N100" i="23"/>
  <c r="O100" i="23" s="1"/>
  <c r="P100" i="23" s="1"/>
  <c r="N79" i="23"/>
  <c r="O79" i="23" s="1"/>
  <c r="P79" i="23" s="1"/>
  <c r="N57" i="23"/>
  <c r="O57" i="23" s="1"/>
  <c r="P57" i="23" s="1"/>
  <c r="N28" i="23"/>
  <c r="O28" i="23" s="1"/>
  <c r="P28" i="23" s="1"/>
  <c r="N104" i="23"/>
  <c r="O104" i="23" s="1"/>
  <c r="P104" i="23" s="1"/>
  <c r="N83" i="23"/>
  <c r="O83" i="23" s="1"/>
  <c r="P83" i="23" s="1"/>
  <c r="N61" i="23"/>
  <c r="O61" i="23" s="1"/>
  <c r="P61" i="23" s="1"/>
  <c r="N35" i="23"/>
  <c r="O35" i="23" s="1"/>
  <c r="P35" i="23" s="1"/>
  <c r="N8" i="23"/>
  <c r="O8" i="23" s="1"/>
  <c r="P8" i="23" s="1"/>
  <c r="N64" i="23"/>
  <c r="O64" i="23" s="1"/>
  <c r="P64" i="23" s="1"/>
  <c r="N7" i="23"/>
  <c r="O7" i="23" s="1"/>
  <c r="P7" i="23" s="1"/>
  <c r="N87" i="23"/>
  <c r="O87" i="23" s="1"/>
  <c r="P87" i="23" s="1"/>
  <c r="N65" i="23"/>
  <c r="O65" i="23" s="1"/>
  <c r="P65" i="23" s="1"/>
  <c r="N40" i="23"/>
  <c r="O40" i="23" s="1"/>
  <c r="P40" i="23" s="1"/>
  <c r="N106" i="23"/>
  <c r="O106" i="23" s="1"/>
  <c r="P106" i="23" s="1"/>
  <c r="N90" i="23"/>
  <c r="O90" i="23" s="1"/>
  <c r="P90" i="23" s="1"/>
  <c r="N74" i="23"/>
  <c r="O74" i="23" s="1"/>
  <c r="P74" i="23" s="1"/>
  <c r="N58" i="23"/>
  <c r="O58" i="23" s="1"/>
  <c r="P58" i="23" s="1"/>
  <c r="N42" i="23"/>
  <c r="O42" i="23" s="1"/>
  <c r="P42" i="23" s="1"/>
  <c r="N26" i="23"/>
  <c r="O26" i="23" s="1"/>
  <c r="P26" i="23" s="1"/>
  <c r="N10" i="23"/>
  <c r="O10" i="23" s="1"/>
  <c r="P10" i="23" s="1"/>
  <c r="N37" i="23"/>
  <c r="O37" i="23" s="1"/>
  <c r="P37" i="23" s="1"/>
  <c r="N21" i="23"/>
  <c r="O21" i="23" s="1"/>
  <c r="P21" i="23" s="1"/>
  <c r="I57" i="23"/>
  <c r="F91" i="23"/>
  <c r="J91" i="23" s="1"/>
  <c r="I21" i="23"/>
  <c r="F21" i="23"/>
  <c r="J21" i="23" s="1"/>
  <c r="I40" i="23"/>
  <c r="I104" i="23"/>
  <c r="I42" i="23"/>
  <c r="N80" i="23"/>
  <c r="O80" i="23" s="1"/>
  <c r="P80" i="23" s="1"/>
  <c r="N31" i="23"/>
  <c r="O31" i="23" s="1"/>
  <c r="P31" i="23" s="1"/>
  <c r="N95" i="23"/>
  <c r="O95" i="23" s="1"/>
  <c r="P95" i="23" s="1"/>
  <c r="N73" i="23"/>
  <c r="O73" i="23" s="1"/>
  <c r="P73" i="23" s="1"/>
  <c r="N52" i="23"/>
  <c r="O52" i="23" s="1"/>
  <c r="P52" i="23" s="1"/>
  <c r="N20" i="23"/>
  <c r="O20" i="23" s="1"/>
  <c r="P20" i="23" s="1"/>
  <c r="N99" i="23"/>
  <c r="O99" i="23" s="1"/>
  <c r="P99" i="23" s="1"/>
  <c r="N77" i="23"/>
  <c r="O77" i="23" s="1"/>
  <c r="P77" i="23" s="1"/>
  <c r="N56" i="23"/>
  <c r="O56" i="23" s="1"/>
  <c r="P56" i="23" s="1"/>
  <c r="N27" i="23"/>
  <c r="O27" i="23" s="1"/>
  <c r="P27" i="23" s="1"/>
  <c r="N96" i="23"/>
  <c r="O96" i="23" s="1"/>
  <c r="P96" i="23" s="1"/>
  <c r="N53" i="23"/>
  <c r="O53" i="23" s="1"/>
  <c r="P53" i="23" s="1"/>
  <c r="N103" i="23"/>
  <c r="O103" i="23" s="1"/>
  <c r="P103" i="23" s="1"/>
  <c r="N81" i="23"/>
  <c r="O81" i="23" s="1"/>
  <c r="P81" i="23" s="1"/>
  <c r="N60" i="23"/>
  <c r="O60" i="23" s="1"/>
  <c r="P60" i="23" s="1"/>
  <c r="N32" i="23"/>
  <c r="O32" i="23" s="1"/>
  <c r="P32" i="23" s="1"/>
  <c r="N102" i="23"/>
  <c r="O102" i="23" s="1"/>
  <c r="P102" i="23" s="1"/>
  <c r="N86" i="23"/>
  <c r="O86" i="23" s="1"/>
  <c r="P86" i="23" s="1"/>
  <c r="N70" i="23"/>
  <c r="O70" i="23" s="1"/>
  <c r="P70" i="23" s="1"/>
  <c r="N54" i="23"/>
  <c r="O54" i="23" s="1"/>
  <c r="P54" i="23" s="1"/>
  <c r="N38" i="23"/>
  <c r="O38" i="23" s="1"/>
  <c r="P38" i="23" s="1"/>
  <c r="N22" i="23"/>
  <c r="O22" i="23" s="1"/>
  <c r="P22" i="23" s="1"/>
  <c r="N49" i="23"/>
  <c r="O49" i="23" s="1"/>
  <c r="P49" i="23" s="1"/>
  <c r="N33" i="23"/>
  <c r="O33" i="23" s="1"/>
  <c r="P33" i="23" s="1"/>
  <c r="N17" i="23"/>
  <c r="O17" i="23" s="1"/>
  <c r="P17" i="23" s="1"/>
  <c r="N69" i="23"/>
  <c r="O69" i="23" s="1"/>
  <c r="P69" i="23" s="1"/>
  <c r="N15" i="23"/>
  <c r="O15" i="23" s="1"/>
  <c r="P15" i="23" s="1"/>
  <c r="N89" i="23"/>
  <c r="O89" i="23" s="1"/>
  <c r="P89" i="23" s="1"/>
  <c r="N68" i="23"/>
  <c r="O68" i="23" s="1"/>
  <c r="P68" i="23" s="1"/>
  <c r="N44" i="23"/>
  <c r="O44" i="23" s="1"/>
  <c r="P44" i="23" s="1"/>
  <c r="N12" i="23"/>
  <c r="O12" i="23" s="1"/>
  <c r="P12" i="23" s="1"/>
  <c r="N93" i="23"/>
  <c r="O93" i="23" s="1"/>
  <c r="P93" i="23" s="1"/>
  <c r="N72" i="23"/>
  <c r="O72" i="23" s="1"/>
  <c r="P72" i="23" s="1"/>
  <c r="N51" i="23"/>
  <c r="O51" i="23" s="1"/>
  <c r="P51" i="23" s="1"/>
  <c r="N19" i="23"/>
  <c r="O19" i="23" s="1"/>
  <c r="P19" i="23" s="1"/>
  <c r="N85" i="23"/>
  <c r="O85" i="23" s="1"/>
  <c r="P85" i="23" s="1"/>
  <c r="N39" i="23"/>
  <c r="O39" i="23" s="1"/>
  <c r="P39" i="23" s="1"/>
  <c r="N97" i="23"/>
  <c r="O97" i="23" s="1"/>
  <c r="P97" i="23" s="1"/>
  <c r="N76" i="23"/>
  <c r="O76" i="23" s="1"/>
  <c r="P76" i="23" s="1"/>
  <c r="N55" i="23"/>
  <c r="O55" i="23" s="1"/>
  <c r="P55" i="23" s="1"/>
  <c r="N24" i="23"/>
  <c r="O24" i="23" s="1"/>
  <c r="P24" i="23" s="1"/>
  <c r="N98" i="23"/>
  <c r="O98" i="23" s="1"/>
  <c r="P98" i="23" s="1"/>
  <c r="N82" i="23"/>
  <c r="O82" i="23" s="1"/>
  <c r="P82" i="23" s="1"/>
  <c r="N66" i="23"/>
  <c r="O66" i="23" s="1"/>
  <c r="P66" i="23" s="1"/>
  <c r="N50" i="23"/>
  <c r="O50" i="23" s="1"/>
  <c r="P50" i="23" s="1"/>
  <c r="N34" i="23"/>
  <c r="O34" i="23" s="1"/>
  <c r="P34" i="23" s="1"/>
  <c r="N18" i="23"/>
  <c r="O18" i="23" s="1"/>
  <c r="P18" i="23" s="1"/>
  <c r="N45" i="23"/>
  <c r="O45" i="23" s="1"/>
  <c r="P45" i="23" s="1"/>
  <c r="N29" i="23"/>
  <c r="O29" i="23" s="1"/>
  <c r="P29" i="23" s="1"/>
  <c r="N13" i="23"/>
  <c r="O13" i="23" s="1"/>
  <c r="P13" i="23" s="1"/>
  <c r="I51" i="23"/>
  <c r="I83" i="23"/>
  <c r="I91" i="23"/>
  <c r="I44" i="23"/>
  <c r="F90" i="23"/>
  <c r="J90" i="23" s="1"/>
  <c r="F83" i="23"/>
  <c r="G83" i="23" s="1"/>
  <c r="H83" i="23" s="1"/>
  <c r="F42" i="23"/>
  <c r="G42" i="23" s="1"/>
  <c r="H42" i="23" s="1"/>
  <c r="F35" i="23"/>
  <c r="J35" i="23" s="1"/>
  <c r="I69" i="23"/>
  <c r="F50" i="23"/>
  <c r="J50" i="23" s="1"/>
  <c r="I72" i="23"/>
  <c r="I45" i="23"/>
  <c r="F65" i="23"/>
  <c r="G65" i="23" s="1"/>
  <c r="H65" i="23" s="1"/>
  <c r="F82" i="23"/>
  <c r="J82" i="23" s="1"/>
  <c r="N101" i="23"/>
  <c r="O101" i="23" s="1"/>
  <c r="P101" i="23" s="1"/>
  <c r="N59" i="23"/>
  <c r="O59" i="23" s="1"/>
  <c r="P59" i="23" s="1"/>
  <c r="N105" i="23"/>
  <c r="O105" i="23" s="1"/>
  <c r="P105" i="23" s="1"/>
  <c r="N84" i="23"/>
  <c r="O84" i="23" s="1"/>
  <c r="P84" i="23" s="1"/>
  <c r="N63" i="23"/>
  <c r="O63" i="23" s="1"/>
  <c r="P63" i="23" s="1"/>
  <c r="N36" i="23"/>
  <c r="O36" i="23" s="1"/>
  <c r="P36" i="23" s="1"/>
  <c r="N6" i="23"/>
  <c r="O6" i="23" s="1"/>
  <c r="P6" i="23" s="1"/>
  <c r="N88" i="23"/>
  <c r="O88" i="23" s="1"/>
  <c r="P88" i="23" s="1"/>
  <c r="N67" i="23"/>
  <c r="O67" i="23" s="1"/>
  <c r="P67" i="23" s="1"/>
  <c r="N43" i="23"/>
  <c r="O43" i="23" s="1"/>
  <c r="P43" i="23" s="1"/>
  <c r="N11" i="23"/>
  <c r="O11" i="23" s="1"/>
  <c r="P11" i="23" s="1"/>
  <c r="N75" i="23"/>
  <c r="O75" i="23" s="1"/>
  <c r="P75" i="23" s="1"/>
  <c r="N23" i="23"/>
  <c r="O23" i="23" s="1"/>
  <c r="P23" i="23" s="1"/>
  <c r="N92" i="23"/>
  <c r="O92" i="23" s="1"/>
  <c r="P92" i="23" s="1"/>
  <c r="N71" i="23"/>
  <c r="O71" i="23" s="1"/>
  <c r="P71" i="23" s="1"/>
  <c r="N48" i="23"/>
  <c r="O48" i="23" s="1"/>
  <c r="P48" i="23" s="1"/>
  <c r="N16" i="23"/>
  <c r="O16" i="23" s="1"/>
  <c r="P16" i="23" s="1"/>
  <c r="N94" i="23"/>
  <c r="O94" i="23" s="1"/>
  <c r="P94" i="23" s="1"/>
  <c r="N78" i="23"/>
  <c r="O78" i="23" s="1"/>
  <c r="P78" i="23" s="1"/>
  <c r="N62" i="23"/>
  <c r="O62" i="23" s="1"/>
  <c r="P62" i="23" s="1"/>
  <c r="N46" i="23"/>
  <c r="O46" i="23" s="1"/>
  <c r="P46" i="23" s="1"/>
  <c r="N30" i="23"/>
  <c r="O30" i="23" s="1"/>
  <c r="P30" i="23" s="1"/>
  <c r="N14" i="23"/>
  <c r="O14" i="23" s="1"/>
  <c r="P14" i="23" s="1"/>
  <c r="N41" i="23"/>
  <c r="O41" i="23" s="1"/>
  <c r="P41" i="23" s="1"/>
  <c r="N25" i="23"/>
  <c r="O25" i="23" s="1"/>
  <c r="P25" i="23" s="1"/>
  <c r="N9" i="23"/>
  <c r="O9" i="23" s="1"/>
  <c r="P9" i="23" s="1"/>
  <c r="I19" i="23"/>
  <c r="I28" i="23"/>
  <c r="I89" i="23"/>
  <c r="F64" i="23"/>
  <c r="J64" i="23" s="1"/>
  <c r="F37" i="23"/>
  <c r="J37" i="23" s="1"/>
  <c r="F74" i="23"/>
  <c r="G74" i="23" s="1"/>
  <c r="H74" i="23" s="1"/>
  <c r="F15" i="23"/>
  <c r="J15" i="23" s="1"/>
  <c r="I47" i="23"/>
  <c r="I97" i="23"/>
  <c r="F68" i="23"/>
  <c r="J68" i="23" s="1"/>
  <c r="F45" i="23"/>
  <c r="J45" i="23" s="1"/>
  <c r="F19" i="23"/>
  <c r="J19" i="23" s="1"/>
  <c r="F47" i="23"/>
  <c r="J47" i="23" s="1"/>
  <c r="I68" i="23"/>
  <c r="F40" i="23"/>
  <c r="J40" i="23" s="1"/>
  <c r="F104" i="23"/>
  <c r="J104" i="23" s="1"/>
  <c r="F18" i="23"/>
  <c r="J18" i="23" s="1"/>
  <c r="F57" i="23"/>
  <c r="G57" i="23" s="1"/>
  <c r="H57" i="23" s="1"/>
  <c r="I7" i="23"/>
  <c r="F28" i="23"/>
  <c r="J28" i="23" s="1"/>
  <c r="F97" i="23"/>
  <c r="G97" i="23" s="1"/>
  <c r="H97" i="23" s="1"/>
  <c r="F8" i="23"/>
  <c r="J8" i="23" s="1"/>
  <c r="I58" i="23"/>
  <c r="I82" i="23"/>
  <c r="I74" i="23"/>
  <c r="I37" i="23"/>
  <c r="I35" i="23"/>
  <c r="I85" i="23"/>
  <c r="I29" i="23"/>
  <c r="F58" i="23"/>
  <c r="G58" i="23" s="1"/>
  <c r="H58" i="23" s="1"/>
  <c r="F51" i="23"/>
  <c r="J51" i="23" s="1"/>
  <c r="I15" i="23"/>
  <c r="I79" i="23"/>
  <c r="I93" i="23"/>
  <c r="I64" i="23"/>
  <c r="F100" i="23"/>
  <c r="G100" i="23" s="1"/>
  <c r="H100" i="23" s="1"/>
  <c r="F10" i="23"/>
  <c r="J10" i="23" s="1"/>
  <c r="F66" i="23"/>
  <c r="G66" i="23" s="1"/>
  <c r="H66" i="23" s="1"/>
  <c r="F55" i="23"/>
  <c r="J55" i="23" s="1"/>
  <c r="I100" i="23"/>
  <c r="F72" i="23"/>
  <c r="G72" i="23" s="1"/>
  <c r="H72" i="23" s="1"/>
  <c r="I39" i="23"/>
  <c r="I24" i="23"/>
  <c r="F29" i="23"/>
  <c r="J29" i="23" s="1"/>
  <c r="F93" i="23"/>
  <c r="G93" i="23" s="1"/>
  <c r="H93" i="23" s="1"/>
  <c r="F95" i="23"/>
  <c r="G95" i="23" s="1"/>
  <c r="H95" i="23" s="1"/>
  <c r="I26" i="23"/>
  <c r="I66" i="23"/>
  <c r="I18" i="23"/>
  <c r="I34" i="23"/>
  <c r="G96" i="23"/>
  <c r="H96" i="23" s="1"/>
  <c r="G41" i="23"/>
  <c r="H41" i="23" s="1"/>
  <c r="G36" i="23"/>
  <c r="H36" i="23" s="1"/>
  <c r="G86" i="23"/>
  <c r="H86" i="23" s="1"/>
  <c r="G23" i="23"/>
  <c r="H23" i="23" s="1"/>
  <c r="G62" i="23"/>
  <c r="H62" i="23" s="1"/>
  <c r="G11" i="23"/>
  <c r="H11" i="23" s="1"/>
  <c r="G48" i="23"/>
  <c r="H48" i="23" s="1"/>
  <c r="G9" i="23"/>
  <c r="H9" i="23" s="1"/>
  <c r="G69" i="23"/>
  <c r="H69" i="23" s="1"/>
  <c r="G75" i="23"/>
  <c r="H75" i="23" s="1"/>
  <c r="G89" i="23"/>
  <c r="H89" i="23" s="1"/>
  <c r="G39" i="23"/>
  <c r="H39" i="23" s="1"/>
  <c r="G99" i="23"/>
  <c r="H99" i="23" s="1"/>
  <c r="G76" i="23"/>
  <c r="H76" i="23" s="1"/>
  <c r="G98" i="23"/>
  <c r="H98" i="23" s="1"/>
  <c r="G27" i="23"/>
  <c r="H27" i="23" s="1"/>
  <c r="G79" i="23"/>
  <c r="H79" i="23" s="1"/>
  <c r="G78" i="23"/>
  <c r="H78" i="23" s="1"/>
  <c r="G70" i="23"/>
  <c r="H70" i="23" s="1"/>
  <c r="G59" i="23"/>
  <c r="H59" i="23" s="1"/>
  <c r="G33" i="23"/>
  <c r="H33" i="23" s="1"/>
  <c r="G43" i="23"/>
  <c r="H43" i="23" s="1"/>
  <c r="G16" i="23"/>
  <c r="H16" i="23" s="1"/>
  <c r="G106" i="23"/>
  <c r="H106" i="23" s="1"/>
  <c r="G31" i="23"/>
  <c r="H31" i="23" s="1"/>
  <c r="G38" i="23"/>
  <c r="H38" i="23" s="1"/>
  <c r="G56" i="23"/>
  <c r="H56" i="23" s="1"/>
  <c r="G44" i="23"/>
  <c r="H44" i="23" s="1"/>
  <c r="G7" i="23"/>
  <c r="H7" i="23" s="1"/>
  <c r="B19" i="19"/>
  <c r="D19" i="19" s="1"/>
  <c r="I17" i="8"/>
  <c r="J17" i="8" s="1"/>
  <c r="D150" i="2" s="1"/>
  <c r="F238" i="2" s="1"/>
  <c r="G149" i="2"/>
  <c r="F149" i="2"/>
  <c r="E37" i="1" s="1"/>
  <c r="H237" i="2" s="1"/>
  <c r="C42" i="16" s="1"/>
  <c r="I18" i="8"/>
  <c r="J18" i="8" s="1"/>
  <c r="G241" i="2" s="1"/>
  <c r="A244" i="2"/>
  <c r="B244" i="2"/>
  <c r="B225" i="2"/>
  <c r="D32" i="16"/>
  <c r="R53" i="2"/>
  <c r="C34" i="16"/>
  <c r="B135" i="2"/>
  <c r="K49" i="2"/>
  <c r="K50" i="2"/>
  <c r="D225" i="2"/>
  <c r="C157" i="8"/>
  <c r="C156" i="8" s="1"/>
  <c r="C155" i="8" s="1"/>
  <c r="C154" i="8" s="1"/>
  <c r="C153" i="8" s="1"/>
  <c r="C152" i="8" s="1"/>
  <c r="C151" i="8" s="1"/>
  <c r="C150" i="8" s="1"/>
  <c r="C149" i="8" s="1"/>
  <c r="C148" i="8" s="1"/>
  <c r="C147" i="8" s="1"/>
  <c r="C146" i="8" s="1"/>
  <c r="C145" i="8" s="1"/>
  <c r="C144" i="8" s="1"/>
  <c r="C143" i="8" s="1"/>
  <c r="C142" i="8" s="1"/>
  <c r="C141" i="8" s="1"/>
  <c r="C140" i="8" s="1"/>
  <c r="C139" i="8" s="1"/>
  <c r="C138" i="8" s="1"/>
  <c r="C137" i="8" s="1"/>
  <c r="C136" i="8" s="1"/>
  <c r="C135" i="8" s="1"/>
  <c r="C134" i="8" s="1"/>
  <c r="C133" i="8" s="1"/>
  <c r="C132" i="8" s="1"/>
  <c r="C131" i="8" s="1"/>
  <c r="C130" i="8" s="1"/>
  <c r="C129" i="8" s="1"/>
  <c r="C128" i="8" s="1"/>
  <c r="C127" i="8" s="1"/>
  <c r="C126" i="8" s="1"/>
  <c r="C125" i="8" s="1"/>
  <c r="C124" i="8" s="1"/>
  <c r="C123" i="8" s="1"/>
  <c r="C122" i="8" s="1"/>
  <c r="C121" i="8" s="1"/>
  <c r="C120" i="8" s="1"/>
  <c r="C119" i="8" s="1"/>
  <c r="C118" i="8" s="1"/>
  <c r="C117" i="8" s="1"/>
  <c r="C116" i="8" s="1"/>
  <c r="C115" i="8" s="1"/>
  <c r="C114" i="8" s="1"/>
  <c r="C113" i="8" s="1"/>
  <c r="C112" i="8" s="1"/>
  <c r="C111" i="8" s="1"/>
  <c r="C110" i="8" s="1"/>
  <c r="C109" i="8" s="1"/>
  <c r="C108" i="8" s="1"/>
  <c r="C107" i="8" s="1"/>
  <c r="C106" i="8" s="1"/>
  <c r="C105" i="8" s="1"/>
  <c r="C104" i="8" s="1"/>
  <c r="C103" i="8" s="1"/>
  <c r="C102" i="8" s="1"/>
  <c r="C101" i="8" s="1"/>
  <c r="C100" i="8" s="1"/>
  <c r="C99" i="8" s="1"/>
  <c r="C98" i="8" s="1"/>
  <c r="C97" i="8" s="1"/>
  <c r="C96" i="8" s="1"/>
  <c r="C95" i="8" s="1"/>
  <c r="C94" i="8" s="1"/>
  <c r="C93" i="8" s="1"/>
  <c r="C92" i="8" s="1"/>
  <c r="C91" i="8" s="1"/>
  <c r="C90" i="8" s="1"/>
  <c r="C89" i="8" s="1"/>
  <c r="C88" i="8" s="1"/>
  <c r="C87" i="8" s="1"/>
  <c r="C86" i="8" s="1"/>
  <c r="C85" i="8" s="1"/>
  <c r="C84" i="8" s="1"/>
  <c r="C83" i="8" s="1"/>
  <c r="C82" i="8" s="1"/>
  <c r="C81" i="8" s="1"/>
  <c r="C80" i="8" s="1"/>
  <c r="C79" i="8" s="1"/>
  <c r="C78" i="8" s="1"/>
  <c r="C77" i="8" s="1"/>
  <c r="C76" i="8" s="1"/>
  <c r="C75" i="8" s="1"/>
  <c r="C74" i="8" s="1"/>
  <c r="C73" i="8" s="1"/>
  <c r="C72" i="8" s="1"/>
  <c r="C71" i="8" s="1"/>
  <c r="C70" i="8" s="1"/>
  <c r="C69" i="8" s="1"/>
  <c r="C68" i="8" s="1"/>
  <c r="C67" i="8" s="1"/>
  <c r="C66" i="8" s="1"/>
  <c r="C65" i="8" s="1"/>
  <c r="C64" i="8" s="1"/>
  <c r="C63" i="8" s="1"/>
  <c r="C62" i="8" s="1"/>
  <c r="C61" i="8" s="1"/>
  <c r="C60" i="8" s="1"/>
  <c r="C59" i="8" s="1"/>
  <c r="C58" i="8" s="1"/>
  <c r="C57" i="8" s="1"/>
  <c r="C56" i="8" s="1"/>
  <c r="C55" i="8" s="1"/>
  <c r="C54" i="8" s="1"/>
  <c r="C53" i="8" s="1"/>
  <c r="C52" i="8" s="1"/>
  <c r="C51" i="8" s="1"/>
  <c r="C50" i="8" s="1"/>
  <c r="C49" i="8" s="1"/>
  <c r="C48" i="8" s="1"/>
  <c r="C47" i="8" s="1"/>
  <c r="C46" i="8" s="1"/>
  <c r="C45" i="8" s="1"/>
  <c r="C44" i="8" s="1"/>
  <c r="C43" i="8" s="1"/>
  <c r="C42" i="8" s="1"/>
  <c r="C41" i="8" s="1"/>
  <c r="C40" i="8" s="1"/>
  <c r="C39" i="8" s="1"/>
  <c r="C38" i="8" s="1"/>
  <c r="C37" i="8" s="1"/>
  <c r="C36" i="8" s="1"/>
  <c r="C35" i="8" s="1"/>
  <c r="C34" i="8" s="1"/>
  <c r="C33" i="8" s="1"/>
  <c r="C32" i="8" s="1"/>
  <c r="C31" i="8" s="1"/>
  <c r="C30" i="8" s="1"/>
  <c r="C29" i="8" s="1"/>
  <c r="C28" i="8" s="1"/>
  <c r="C27" i="8" s="1"/>
  <c r="C26" i="8" s="1"/>
  <c r="C25" i="8" s="1"/>
  <c r="C24" i="8" s="1"/>
  <c r="C23" i="8" s="1"/>
  <c r="C22" i="8" s="1"/>
  <c r="C21" i="8" s="1"/>
  <c r="C20" i="8" s="1"/>
  <c r="C19" i="8" s="1"/>
  <c r="C18" i="8" s="1"/>
  <c r="C17" i="8" s="1"/>
  <c r="C16" i="8" s="1"/>
  <c r="C15" i="8" s="1"/>
  <c r="C14" i="8" s="1"/>
  <c r="C13" i="8" s="1"/>
  <c r="C12" i="8" s="1"/>
  <c r="C11" i="8" s="1"/>
  <c r="C10" i="8" s="1"/>
  <c r="C9" i="8" s="1"/>
  <c r="C8" i="8" s="1"/>
  <c r="C7" i="8" s="1"/>
  <c r="C6" i="8" s="1"/>
  <c r="C4" i="8" s="1"/>
  <c r="B224" i="2"/>
  <c r="C225" i="2"/>
  <c r="B226" i="2"/>
  <c r="A227" i="2"/>
  <c r="B230" i="2"/>
  <c r="I11" i="19"/>
  <c r="I15" i="19"/>
  <c r="I19" i="19"/>
  <c r="I23" i="19"/>
  <c r="I27" i="19"/>
  <c r="I31" i="19"/>
  <c r="I35" i="19"/>
  <c r="I39" i="19"/>
  <c r="I43" i="19"/>
  <c r="I47" i="19"/>
  <c r="I51" i="19"/>
  <c r="I55" i="19"/>
  <c r="I59" i="19"/>
  <c r="I63" i="19"/>
  <c r="I67" i="19"/>
  <c r="I71" i="19"/>
  <c r="I75" i="19"/>
  <c r="I79" i="19"/>
  <c r="I83" i="19"/>
  <c r="I87" i="19"/>
  <c r="I91" i="19"/>
  <c r="I95" i="19"/>
  <c r="I99" i="19"/>
  <c r="I103" i="19"/>
  <c r="I13" i="19"/>
  <c r="I17" i="19"/>
  <c r="I21" i="19"/>
  <c r="I25" i="19"/>
  <c r="I29" i="19"/>
  <c r="I33" i="19"/>
  <c r="I37" i="19"/>
  <c r="I41" i="19"/>
  <c r="I45" i="19"/>
  <c r="I49" i="19"/>
  <c r="I53" i="19"/>
  <c r="I57" i="19"/>
  <c r="I61" i="19"/>
  <c r="I65" i="19"/>
  <c r="I69" i="19"/>
  <c r="I73" i="19"/>
  <c r="I77" i="19"/>
  <c r="I81" i="19"/>
  <c r="I85" i="19"/>
  <c r="I89" i="19"/>
  <c r="I93" i="19"/>
  <c r="I97" i="19"/>
  <c r="I101" i="19"/>
  <c r="I105" i="19"/>
  <c r="I10" i="19"/>
  <c r="I18" i="19"/>
  <c r="I26" i="19"/>
  <c r="I34" i="19"/>
  <c r="I42" i="19"/>
  <c r="I50" i="19"/>
  <c r="I58" i="19"/>
  <c r="I66" i="19"/>
  <c r="I74" i="19"/>
  <c r="I82" i="19"/>
  <c r="I90" i="19"/>
  <c r="I98" i="19"/>
  <c r="I106" i="19"/>
  <c r="I14" i="19"/>
  <c r="I22" i="19"/>
  <c r="I30" i="19"/>
  <c r="I38" i="19"/>
  <c r="I46" i="19"/>
  <c r="I54" i="19"/>
  <c r="I62" i="19"/>
  <c r="I70" i="19"/>
  <c r="I78" i="19"/>
  <c r="I86" i="19"/>
  <c r="I94" i="19"/>
  <c r="I102" i="19"/>
  <c r="I20" i="19"/>
  <c r="I36" i="19"/>
  <c r="I52" i="19"/>
  <c r="I68" i="19"/>
  <c r="I84" i="19"/>
  <c r="I100" i="19"/>
  <c r="I24" i="19"/>
  <c r="I40" i="19"/>
  <c r="I56" i="19"/>
  <c r="I72" i="19"/>
  <c r="I88" i="19"/>
  <c r="I104" i="19"/>
  <c r="I12" i="19"/>
  <c r="I28" i="19"/>
  <c r="I44" i="19"/>
  <c r="I60" i="19"/>
  <c r="I76" i="19"/>
  <c r="I92" i="19"/>
  <c r="I16" i="19"/>
  <c r="I32" i="19"/>
  <c r="I48" i="19"/>
  <c r="I64" i="19"/>
  <c r="I80" i="19"/>
  <c r="I96" i="19"/>
  <c r="D18" i="19"/>
  <c r="Q243" i="24" l="1"/>
  <c r="CE85" i="24"/>
  <c r="CE49" i="24"/>
  <c r="CE25" i="24"/>
  <c r="CE9" i="24"/>
  <c r="CE92" i="24"/>
  <c r="CE76" i="24"/>
  <c r="CE44" i="24"/>
  <c r="CE28" i="24"/>
  <c r="CE12" i="24"/>
  <c r="CE73" i="24"/>
  <c r="CE99" i="24"/>
  <c r="CE83" i="24"/>
  <c r="CE51" i="24"/>
  <c r="CE35" i="24"/>
  <c r="CE19" i="24"/>
  <c r="CE41" i="24"/>
  <c r="CE90" i="24"/>
  <c r="CE58" i="24"/>
  <c r="CE42" i="24"/>
  <c r="CE26" i="24"/>
  <c r="CE10" i="24"/>
  <c r="CE104" i="24"/>
  <c r="CE72" i="24"/>
  <c r="CE40" i="24"/>
  <c r="CE8" i="24"/>
  <c r="CE95" i="24"/>
  <c r="CE31" i="24"/>
  <c r="CE81" i="24"/>
  <c r="CE86" i="24"/>
  <c r="CE22" i="24"/>
  <c r="CE65" i="24"/>
  <c r="CE33" i="24"/>
  <c r="CE17" i="24"/>
  <c r="CE100" i="24"/>
  <c r="CE52" i="24"/>
  <c r="CE36" i="24"/>
  <c r="CE101" i="24"/>
  <c r="CE37" i="24"/>
  <c r="CE91" i="24"/>
  <c r="CE75" i="24"/>
  <c r="CE59" i="24"/>
  <c r="CE43" i="24"/>
  <c r="CE27" i="24"/>
  <c r="CE11" i="24"/>
  <c r="CE69" i="24"/>
  <c r="CE82" i="24"/>
  <c r="CE66" i="24"/>
  <c r="CE34" i="24"/>
  <c r="CE18" i="24"/>
  <c r="CE77" i="24"/>
  <c r="CE21" i="24"/>
  <c r="CE88" i="24"/>
  <c r="CE56" i="24"/>
  <c r="CE24" i="24"/>
  <c r="CE79" i="24"/>
  <c r="CE15" i="24"/>
  <c r="CE102" i="24"/>
  <c r="CE38" i="24"/>
  <c r="CE6" i="24"/>
  <c r="CE97" i="24"/>
  <c r="CE57" i="24"/>
  <c r="CE29" i="24"/>
  <c r="CE13" i="24"/>
  <c r="CE96" i="24"/>
  <c r="CE80" i="24"/>
  <c r="CE64" i="24"/>
  <c r="CE48" i="24"/>
  <c r="CE32" i="24"/>
  <c r="CE16" i="24"/>
  <c r="CE103" i="24"/>
  <c r="CE71" i="24"/>
  <c r="CE55" i="24"/>
  <c r="CE39" i="24"/>
  <c r="CE23" i="24"/>
  <c r="CE7" i="24"/>
  <c r="CE53" i="24"/>
  <c r="CE78" i="24"/>
  <c r="CE62" i="24"/>
  <c r="CE46" i="24"/>
  <c r="CE30" i="24"/>
  <c r="CE14" i="24"/>
  <c r="CD5" i="24"/>
  <c r="CE5" i="24"/>
  <c r="S45" i="24"/>
  <c r="S21" i="24"/>
  <c r="T21" i="24" s="1"/>
  <c r="O21" i="24" s="1"/>
  <c r="S88" i="24"/>
  <c r="S56" i="24"/>
  <c r="T56" i="24" s="1"/>
  <c r="O56" i="24" s="1"/>
  <c r="S24" i="24"/>
  <c r="S61" i="24"/>
  <c r="S63" i="24"/>
  <c r="T63" i="24" s="1"/>
  <c r="O63" i="24" s="1"/>
  <c r="S31" i="24"/>
  <c r="T31" i="24" s="1"/>
  <c r="O31" i="24" s="1"/>
  <c r="S81" i="24"/>
  <c r="S86" i="24"/>
  <c r="T86" i="24" s="1"/>
  <c r="O86" i="24" s="1"/>
  <c r="S54" i="24"/>
  <c r="T54" i="24" s="1"/>
  <c r="O54" i="24" s="1"/>
  <c r="S22" i="24"/>
  <c r="BN113" i="24"/>
  <c r="BQ113" i="24" s="1"/>
  <c r="BN163" i="24"/>
  <c r="BQ163" i="24" s="1"/>
  <c r="BN174" i="24"/>
  <c r="BQ174" i="24" s="1"/>
  <c r="BN183" i="24"/>
  <c r="BQ183" i="24" s="1"/>
  <c r="BN197" i="24"/>
  <c r="BQ197" i="24" s="1"/>
  <c r="BN137" i="24"/>
  <c r="BQ137" i="24" s="1"/>
  <c r="BN135" i="24"/>
  <c r="BQ135" i="24" s="1"/>
  <c r="BN194" i="24"/>
  <c r="BQ194" i="24" s="1"/>
  <c r="BN189" i="24"/>
  <c r="BQ189" i="24" s="1"/>
  <c r="BN122" i="24"/>
  <c r="BQ122" i="24" s="1"/>
  <c r="BN188" i="24"/>
  <c r="BQ188" i="24" s="1"/>
  <c r="BN172" i="24"/>
  <c r="BQ172" i="24" s="1"/>
  <c r="CB129" i="25"/>
  <c r="BL129" i="25"/>
  <c r="BP129" i="25" s="1"/>
  <c r="BL145" i="25"/>
  <c r="BP145" i="25" s="1"/>
  <c r="CB145" i="25"/>
  <c r="BL161" i="25"/>
  <c r="BP161" i="25" s="1"/>
  <c r="CB161" i="25"/>
  <c r="BL177" i="25"/>
  <c r="BP177" i="25" s="1"/>
  <c r="CB177" i="25"/>
  <c r="CB193" i="25"/>
  <c r="BL193" i="25"/>
  <c r="BP193" i="25" s="1"/>
  <c r="BL150" i="25"/>
  <c r="BP150" i="25" s="1"/>
  <c r="CB150" i="25"/>
  <c r="BL182" i="25"/>
  <c r="BP182" i="25" s="1"/>
  <c r="CB182" i="25"/>
  <c r="BL131" i="25"/>
  <c r="BP131" i="25" s="1"/>
  <c r="CB131" i="25"/>
  <c r="BL163" i="25"/>
  <c r="BP163" i="25" s="1"/>
  <c r="CB163" i="25"/>
  <c r="CB195" i="25"/>
  <c r="BL195" i="25"/>
  <c r="BP195" i="25" s="1"/>
  <c r="S65" i="24"/>
  <c r="S17" i="24"/>
  <c r="S84" i="24"/>
  <c r="S52" i="24"/>
  <c r="S20" i="24"/>
  <c r="S37" i="24"/>
  <c r="S75" i="24"/>
  <c r="S43" i="24"/>
  <c r="S11" i="24"/>
  <c r="S69" i="24"/>
  <c r="T69" i="24" s="1"/>
  <c r="O69" i="24" s="1"/>
  <c r="S98" i="24"/>
  <c r="S66" i="24"/>
  <c r="S34" i="24"/>
  <c r="BN195" i="24"/>
  <c r="BQ195" i="24" s="1"/>
  <c r="BN147" i="24"/>
  <c r="BQ147" i="24" s="1"/>
  <c r="BN154" i="24"/>
  <c r="BQ154" i="24" s="1"/>
  <c r="BN167" i="24"/>
  <c r="BQ167" i="24" s="1"/>
  <c r="BN185" i="24"/>
  <c r="BQ185" i="24" s="1"/>
  <c r="BN133" i="24"/>
  <c r="BQ133" i="24" s="1"/>
  <c r="BN112" i="24"/>
  <c r="BQ112" i="24" s="1"/>
  <c r="BN181" i="24"/>
  <c r="BQ181" i="24" s="1"/>
  <c r="BN157" i="24"/>
  <c r="BQ157" i="24" s="1"/>
  <c r="BN200" i="24"/>
  <c r="BQ200" i="24" s="1"/>
  <c r="BN168" i="24"/>
  <c r="BQ168" i="24" s="1"/>
  <c r="BL113" i="25"/>
  <c r="BP113" i="25" s="1"/>
  <c r="CB113" i="25"/>
  <c r="CB122" i="25"/>
  <c r="BL122" i="25"/>
  <c r="BP122" i="25" s="1"/>
  <c r="BL123" i="25"/>
  <c r="BP123" i="25" s="1"/>
  <c r="CB123" i="25"/>
  <c r="BL140" i="25"/>
  <c r="BP140" i="25" s="1"/>
  <c r="CB140" i="25"/>
  <c r="BL156" i="25"/>
  <c r="BP156" i="25" s="1"/>
  <c r="CB156" i="25"/>
  <c r="BL172" i="25"/>
  <c r="BP172" i="25" s="1"/>
  <c r="CB172" i="25"/>
  <c r="CB188" i="25"/>
  <c r="BL188" i="25"/>
  <c r="BP188" i="25" s="1"/>
  <c r="BL138" i="25"/>
  <c r="BP138" i="25" s="1"/>
  <c r="CB138" i="25"/>
  <c r="BL170" i="25"/>
  <c r="BP170" i="25" s="1"/>
  <c r="CB170" i="25"/>
  <c r="BL135" i="25"/>
  <c r="BP135" i="25" s="1"/>
  <c r="CB135" i="25"/>
  <c r="CB167" i="25"/>
  <c r="BL167" i="25"/>
  <c r="BP167" i="25" s="1"/>
  <c r="CB199" i="25"/>
  <c r="BL199" i="25"/>
  <c r="BP199" i="25" s="1"/>
  <c r="S97" i="24"/>
  <c r="T97" i="24" s="1"/>
  <c r="O97" i="24" s="1"/>
  <c r="S57" i="24"/>
  <c r="S29" i="24"/>
  <c r="T29" i="24" s="1"/>
  <c r="O29" i="24" s="1"/>
  <c r="S13" i="24"/>
  <c r="S96" i="24"/>
  <c r="T96" i="24" s="1"/>
  <c r="O96" i="24" s="1"/>
  <c r="S80" i="24"/>
  <c r="S64" i="24"/>
  <c r="T64" i="24" s="1"/>
  <c r="O64" i="24" s="1"/>
  <c r="S48" i="24"/>
  <c r="S32" i="24"/>
  <c r="T32" i="24" s="1"/>
  <c r="O32" i="24" s="1"/>
  <c r="S16" i="24"/>
  <c r="S89" i="24"/>
  <c r="T89" i="24" s="1"/>
  <c r="O89" i="24" s="1"/>
  <c r="S103" i="24"/>
  <c r="S87" i="24"/>
  <c r="T87" i="24" s="1"/>
  <c r="O87" i="24" s="1"/>
  <c r="S71" i="24"/>
  <c r="S55" i="24"/>
  <c r="T55" i="24" s="1"/>
  <c r="O55" i="24" s="1"/>
  <c r="S39" i="24"/>
  <c r="S23" i="24"/>
  <c r="T23" i="24" s="1"/>
  <c r="O23" i="24" s="1"/>
  <c r="S7" i="24"/>
  <c r="S53" i="24"/>
  <c r="T53" i="24" s="1"/>
  <c r="O53" i="24" s="1"/>
  <c r="S94" i="24"/>
  <c r="S78" i="24"/>
  <c r="T78" i="24" s="1"/>
  <c r="O78" i="24" s="1"/>
  <c r="S62" i="24"/>
  <c r="S46" i="24"/>
  <c r="T46" i="24" s="1"/>
  <c r="O46" i="24" s="1"/>
  <c r="S30" i="24"/>
  <c r="S14" i="24"/>
  <c r="T14" i="24" s="1"/>
  <c r="O14" i="24" s="1"/>
  <c r="BN199" i="24"/>
  <c r="BQ199" i="24" s="1"/>
  <c r="BN121" i="24"/>
  <c r="BQ121" i="24" s="1"/>
  <c r="BN191" i="24"/>
  <c r="BQ191" i="24" s="1"/>
  <c r="BN131" i="24"/>
  <c r="BQ131" i="24" s="1"/>
  <c r="BN111" i="24"/>
  <c r="BQ111" i="24" s="1"/>
  <c r="BN182" i="24"/>
  <c r="BQ182" i="24" s="1"/>
  <c r="BN166" i="24"/>
  <c r="BQ166" i="24" s="1"/>
  <c r="BN150" i="24"/>
  <c r="BQ150" i="24" s="1"/>
  <c r="BN134" i="24"/>
  <c r="BQ134" i="24" s="1"/>
  <c r="BN155" i="24"/>
  <c r="BQ155" i="24" s="1"/>
  <c r="BN123" i="24"/>
  <c r="BQ123" i="24" s="1"/>
  <c r="BN173" i="24"/>
  <c r="BQ173" i="24" s="1"/>
  <c r="BN145" i="24"/>
  <c r="BQ145" i="24" s="1"/>
  <c r="BN151" i="24"/>
  <c r="BQ151" i="24" s="1"/>
  <c r="BN210" i="24"/>
  <c r="BQ210" i="24" s="1"/>
  <c r="BN127" i="24"/>
  <c r="BQ127" i="24" s="1"/>
  <c r="BN201" i="24"/>
  <c r="BQ201" i="24" s="1"/>
  <c r="BN177" i="24"/>
  <c r="BQ177" i="24" s="1"/>
  <c r="BN130" i="24"/>
  <c r="BQ130" i="24" s="1"/>
  <c r="BN114" i="24"/>
  <c r="BQ114" i="24" s="1"/>
  <c r="BN196" i="24"/>
  <c r="BQ196" i="24" s="1"/>
  <c r="BN180" i="24"/>
  <c r="BQ180" i="24" s="1"/>
  <c r="BN164" i="24"/>
  <c r="BQ164" i="24" s="1"/>
  <c r="BN148" i="24"/>
  <c r="BQ148" i="24" s="1"/>
  <c r="BN132" i="24"/>
  <c r="BQ132" i="24" s="1"/>
  <c r="BL116" i="25"/>
  <c r="BP116" i="25" s="1"/>
  <c r="CB116" i="25"/>
  <c r="CB117" i="25"/>
  <c r="BL117" i="25"/>
  <c r="BP117" i="25" s="1"/>
  <c r="BL126" i="25"/>
  <c r="BP126" i="25" s="1"/>
  <c r="CB126" i="25"/>
  <c r="BL111" i="25"/>
  <c r="BP111" i="25" s="1"/>
  <c r="CB111" i="25"/>
  <c r="CB127" i="25"/>
  <c r="BL127" i="25"/>
  <c r="BP127" i="25" s="1"/>
  <c r="BL133" i="25"/>
  <c r="BP133" i="25" s="1"/>
  <c r="CB133" i="25"/>
  <c r="CB141" i="25"/>
  <c r="BL141" i="25"/>
  <c r="BP141" i="25" s="1"/>
  <c r="CB149" i="25"/>
  <c r="BL149" i="25"/>
  <c r="BP149" i="25" s="1"/>
  <c r="CB157" i="25"/>
  <c r="BL157" i="25"/>
  <c r="BP157" i="25" s="1"/>
  <c r="CB165" i="25"/>
  <c r="BL165" i="25"/>
  <c r="BP165" i="25" s="1"/>
  <c r="CB173" i="25"/>
  <c r="BL173" i="25"/>
  <c r="BP173" i="25" s="1"/>
  <c r="CB181" i="25"/>
  <c r="BL181" i="25"/>
  <c r="BP181" i="25" s="1"/>
  <c r="CB189" i="25"/>
  <c r="BL189" i="25"/>
  <c r="BP189" i="25" s="1"/>
  <c r="CB197" i="25"/>
  <c r="BL197" i="25"/>
  <c r="BP197" i="25" s="1"/>
  <c r="BL142" i="25"/>
  <c r="BP142" i="25" s="1"/>
  <c r="CB142" i="25"/>
  <c r="BL158" i="25"/>
  <c r="BP158" i="25" s="1"/>
  <c r="CB158" i="25"/>
  <c r="BL174" i="25"/>
  <c r="BP174" i="25" s="1"/>
  <c r="CB174" i="25"/>
  <c r="BL190" i="25"/>
  <c r="BP190" i="25" s="1"/>
  <c r="CB190" i="25"/>
  <c r="CB139" i="25"/>
  <c r="BL139" i="25"/>
  <c r="BP139" i="25" s="1"/>
  <c r="BL155" i="25"/>
  <c r="BP155" i="25" s="1"/>
  <c r="CB155" i="25"/>
  <c r="CB171" i="25"/>
  <c r="BL171" i="25"/>
  <c r="BP171" i="25" s="1"/>
  <c r="BL187" i="25"/>
  <c r="BP187" i="25" s="1"/>
  <c r="CB187" i="25"/>
  <c r="CB201" i="25"/>
  <c r="BL201" i="25"/>
  <c r="BP201" i="25" s="1"/>
  <c r="CB209" i="25"/>
  <c r="BL209" i="25"/>
  <c r="BP209" i="25" s="1"/>
  <c r="CB203" i="25"/>
  <c r="BL203" i="25"/>
  <c r="BP203" i="25" s="1"/>
  <c r="CB208" i="25"/>
  <c r="BL208" i="25"/>
  <c r="BP208" i="25" s="1"/>
  <c r="S77" i="24"/>
  <c r="S104" i="24"/>
  <c r="T104" i="24" s="1"/>
  <c r="O104" i="24" s="1"/>
  <c r="S72" i="24"/>
  <c r="T72" i="24" s="1"/>
  <c r="O72" i="24" s="1"/>
  <c r="S40" i="24"/>
  <c r="T40" i="24" s="1"/>
  <c r="O40" i="24" s="1"/>
  <c r="S8" i="24"/>
  <c r="S95" i="24"/>
  <c r="T95" i="24" s="1"/>
  <c r="O95" i="24" s="1"/>
  <c r="S79" i="24"/>
  <c r="T79" i="24" s="1"/>
  <c r="O79" i="24" s="1"/>
  <c r="S47" i="24"/>
  <c r="S15" i="24"/>
  <c r="S102" i="24"/>
  <c r="S70" i="24"/>
  <c r="T70" i="24" s="1"/>
  <c r="O70" i="24" s="1"/>
  <c r="S38" i="24"/>
  <c r="S6" i="24"/>
  <c r="BN187" i="24"/>
  <c r="BQ187" i="24" s="1"/>
  <c r="BN125" i="24"/>
  <c r="BQ125" i="24" s="1"/>
  <c r="BN202" i="24"/>
  <c r="BQ202" i="24" s="1"/>
  <c r="BN158" i="24"/>
  <c r="BQ158" i="24" s="1"/>
  <c r="BN142" i="24"/>
  <c r="BQ142" i="24" s="1"/>
  <c r="BN198" i="24"/>
  <c r="BQ198" i="24" s="1"/>
  <c r="BN153" i="24"/>
  <c r="BQ153" i="24" s="1"/>
  <c r="BN171" i="24"/>
  <c r="BQ171" i="24" s="1"/>
  <c r="BN128" i="24"/>
  <c r="BQ128" i="24" s="1"/>
  <c r="BN115" i="24"/>
  <c r="BQ115" i="24" s="1"/>
  <c r="BN161" i="24"/>
  <c r="BQ161" i="24" s="1"/>
  <c r="BN204" i="24"/>
  <c r="BQ204" i="24" s="1"/>
  <c r="BN156" i="24"/>
  <c r="BQ156" i="24" s="1"/>
  <c r="BN140" i="24"/>
  <c r="BQ140" i="24" s="1"/>
  <c r="BL121" i="25"/>
  <c r="BP121" i="25" s="1"/>
  <c r="CB121" i="25"/>
  <c r="BL124" i="25"/>
  <c r="BP124" i="25" s="1"/>
  <c r="CB124" i="25"/>
  <c r="BL118" i="25"/>
  <c r="BP118" i="25" s="1"/>
  <c r="CB118" i="25"/>
  <c r="CB119" i="25"/>
  <c r="BL119" i="25"/>
  <c r="BP119" i="25" s="1"/>
  <c r="CB137" i="25"/>
  <c r="BL137" i="25"/>
  <c r="BP137" i="25" s="1"/>
  <c r="BL153" i="25"/>
  <c r="BP153" i="25" s="1"/>
  <c r="CB153" i="25"/>
  <c r="BL169" i="25"/>
  <c r="BP169" i="25" s="1"/>
  <c r="CB169" i="25"/>
  <c r="BL185" i="25"/>
  <c r="BP185" i="25" s="1"/>
  <c r="CB185" i="25"/>
  <c r="CB134" i="25"/>
  <c r="BL134" i="25"/>
  <c r="BP134" i="25" s="1"/>
  <c r="BL166" i="25"/>
  <c r="BP166" i="25" s="1"/>
  <c r="CB166" i="25"/>
  <c r="CB198" i="25"/>
  <c r="BL198" i="25"/>
  <c r="BP198" i="25" s="1"/>
  <c r="BL147" i="25"/>
  <c r="BP147" i="25" s="1"/>
  <c r="CB147" i="25"/>
  <c r="BL179" i="25"/>
  <c r="BP179" i="25" s="1"/>
  <c r="CB179" i="25"/>
  <c r="CB205" i="25"/>
  <c r="BL205" i="25"/>
  <c r="BP205" i="25" s="1"/>
  <c r="CB200" i="25"/>
  <c r="BL200" i="25"/>
  <c r="BP200" i="25" s="1"/>
  <c r="S105" i="24"/>
  <c r="T105" i="24" s="1"/>
  <c r="O105" i="24" s="1"/>
  <c r="S33" i="24"/>
  <c r="T33" i="24" s="1"/>
  <c r="O33" i="24" s="1"/>
  <c r="S100" i="24"/>
  <c r="T100" i="24" s="1"/>
  <c r="O100" i="24" s="1"/>
  <c r="S68" i="24"/>
  <c r="T68" i="24" s="1"/>
  <c r="O68" i="24" s="1"/>
  <c r="S36" i="24"/>
  <c r="T36" i="24" s="1"/>
  <c r="O36" i="24" s="1"/>
  <c r="S101" i="24"/>
  <c r="T101" i="24" s="1"/>
  <c r="O101" i="24" s="1"/>
  <c r="S91" i="24"/>
  <c r="T91" i="24" s="1"/>
  <c r="O91" i="24" s="1"/>
  <c r="S59" i="24"/>
  <c r="T59" i="24" s="1"/>
  <c r="O59" i="24" s="1"/>
  <c r="S27" i="24"/>
  <c r="T27" i="24" s="1"/>
  <c r="O27" i="24" s="1"/>
  <c r="S82" i="24"/>
  <c r="T82" i="24" s="1"/>
  <c r="O82" i="24" s="1"/>
  <c r="S50" i="24"/>
  <c r="T50" i="24" s="1"/>
  <c r="O50" i="24" s="1"/>
  <c r="S18" i="24"/>
  <c r="T18" i="24" s="1"/>
  <c r="O18" i="24" s="1"/>
  <c r="BN117" i="24"/>
  <c r="BQ117" i="24" s="1"/>
  <c r="BN207" i="24"/>
  <c r="BQ207" i="24" s="1"/>
  <c r="BN186" i="24"/>
  <c r="BQ186" i="24" s="1"/>
  <c r="BN170" i="24"/>
  <c r="BQ170" i="24" s="1"/>
  <c r="BN138" i="24"/>
  <c r="BQ138" i="24" s="1"/>
  <c r="BN190" i="24"/>
  <c r="BQ190" i="24" s="1"/>
  <c r="BN149" i="24"/>
  <c r="BQ149" i="24" s="1"/>
  <c r="BN159" i="24"/>
  <c r="BQ159" i="24" s="1"/>
  <c r="BN124" i="24"/>
  <c r="BQ124" i="24" s="1"/>
  <c r="BN205" i="24"/>
  <c r="BQ205" i="24" s="1"/>
  <c r="BN118" i="24"/>
  <c r="BQ118" i="24" s="1"/>
  <c r="BN152" i="24"/>
  <c r="BQ152" i="24" s="1"/>
  <c r="BN136" i="24"/>
  <c r="BQ136" i="24" s="1"/>
  <c r="CB112" i="25"/>
  <c r="BL112" i="25"/>
  <c r="BP112" i="25" s="1"/>
  <c r="CB132" i="25"/>
  <c r="BL132" i="25"/>
  <c r="BP132" i="25" s="1"/>
  <c r="BL148" i="25"/>
  <c r="BP148" i="25" s="1"/>
  <c r="CB148" i="25"/>
  <c r="BL164" i="25"/>
  <c r="BP164" i="25" s="1"/>
  <c r="CB164" i="25"/>
  <c r="BL180" i="25"/>
  <c r="BP180" i="25" s="1"/>
  <c r="CB180" i="25"/>
  <c r="CB196" i="25"/>
  <c r="BL196" i="25"/>
  <c r="BP196" i="25" s="1"/>
  <c r="CB154" i="25"/>
  <c r="BL154" i="25"/>
  <c r="BP154" i="25" s="1"/>
  <c r="CB186" i="25"/>
  <c r="BL186" i="25"/>
  <c r="BP186" i="25" s="1"/>
  <c r="BL151" i="25"/>
  <c r="BP151" i="25" s="1"/>
  <c r="CB151" i="25"/>
  <c r="BL183" i="25"/>
  <c r="BP183" i="25" s="1"/>
  <c r="CB183" i="25"/>
  <c r="CB206" i="25"/>
  <c r="BL206" i="25"/>
  <c r="BP206" i="25" s="1"/>
  <c r="CB204" i="25"/>
  <c r="BL204" i="25"/>
  <c r="BP204" i="25" s="1"/>
  <c r="S85" i="24"/>
  <c r="T85" i="24" s="1"/>
  <c r="O85" i="24" s="1"/>
  <c r="S49" i="24"/>
  <c r="S25" i="24"/>
  <c r="T25" i="24" s="1"/>
  <c r="O25" i="24" s="1"/>
  <c r="S9" i="24"/>
  <c r="S92" i="24"/>
  <c r="T92" i="24" s="1"/>
  <c r="O92" i="24" s="1"/>
  <c r="S76" i="24"/>
  <c r="S60" i="24"/>
  <c r="T60" i="24" s="1"/>
  <c r="O60" i="24" s="1"/>
  <c r="S44" i="24"/>
  <c r="S28" i="24"/>
  <c r="T28" i="24" s="1"/>
  <c r="O28" i="24" s="1"/>
  <c r="S12" i="24"/>
  <c r="S73" i="24"/>
  <c r="T73" i="24" s="1"/>
  <c r="O73" i="24" s="1"/>
  <c r="S99" i="24"/>
  <c r="S83" i="24"/>
  <c r="T83" i="24" s="1"/>
  <c r="O83" i="24" s="1"/>
  <c r="S67" i="24"/>
  <c r="S51" i="24"/>
  <c r="T51" i="24" s="1"/>
  <c r="O51" i="24" s="1"/>
  <c r="S35" i="24"/>
  <c r="S19" i="24"/>
  <c r="T19" i="24" s="1"/>
  <c r="O19" i="24" s="1"/>
  <c r="S93" i="24"/>
  <c r="S41" i="24"/>
  <c r="T41" i="24" s="1"/>
  <c r="O41" i="24" s="1"/>
  <c r="S90" i="24"/>
  <c r="S74" i="24"/>
  <c r="T74" i="24" s="1"/>
  <c r="O74" i="24" s="1"/>
  <c r="S58" i="24"/>
  <c r="S42" i="24"/>
  <c r="T42" i="24" s="1"/>
  <c r="O42" i="24" s="1"/>
  <c r="S26" i="24"/>
  <c r="S10" i="24"/>
  <c r="T10" i="24" s="1"/>
  <c r="O10" i="24" s="1"/>
  <c r="BN203" i="24"/>
  <c r="BQ203" i="24" s="1"/>
  <c r="BN129" i="24"/>
  <c r="BQ129" i="24" s="1"/>
  <c r="BN179" i="24"/>
  <c r="BQ179" i="24" s="1"/>
  <c r="BN120" i="24"/>
  <c r="BQ120" i="24" s="1"/>
  <c r="BN178" i="24"/>
  <c r="BQ178" i="24" s="1"/>
  <c r="BN162" i="24"/>
  <c r="BQ162" i="24" s="1"/>
  <c r="BN146" i="24"/>
  <c r="BQ146" i="24" s="1"/>
  <c r="BN139" i="24"/>
  <c r="BQ139" i="24" s="1"/>
  <c r="BN116" i="24"/>
  <c r="BQ116" i="24" s="1"/>
  <c r="BN209" i="24"/>
  <c r="BQ209" i="24" s="1"/>
  <c r="BN165" i="24"/>
  <c r="BQ165" i="24" s="1"/>
  <c r="BN175" i="24"/>
  <c r="BQ175" i="24" s="1"/>
  <c r="BN143" i="24"/>
  <c r="BQ143" i="24" s="1"/>
  <c r="BN206" i="24"/>
  <c r="BQ206" i="24" s="1"/>
  <c r="BN119" i="24"/>
  <c r="BQ119" i="24" s="1"/>
  <c r="BN193" i="24"/>
  <c r="BQ193" i="24" s="1"/>
  <c r="BN169" i="24"/>
  <c r="BQ169" i="24" s="1"/>
  <c r="BN126" i="24"/>
  <c r="BQ126" i="24" s="1"/>
  <c r="BN208" i="24"/>
  <c r="BQ208" i="24" s="1"/>
  <c r="BN192" i="24"/>
  <c r="BQ192" i="24" s="1"/>
  <c r="BN176" i="24"/>
  <c r="BQ176" i="24" s="1"/>
  <c r="BN160" i="24"/>
  <c r="BQ160" i="24" s="1"/>
  <c r="BN144" i="24"/>
  <c r="BQ144" i="24" s="1"/>
  <c r="BL120" i="25"/>
  <c r="BP120" i="25" s="1"/>
  <c r="CB120" i="25"/>
  <c r="CB125" i="25"/>
  <c r="BL125" i="25"/>
  <c r="BP125" i="25" s="1"/>
  <c r="CB114" i="25"/>
  <c r="BL114" i="25"/>
  <c r="BP114" i="25" s="1"/>
  <c r="CB115" i="25"/>
  <c r="BL115" i="25"/>
  <c r="BP115" i="25" s="1"/>
  <c r="BL128" i="25"/>
  <c r="BP128" i="25" s="1"/>
  <c r="CB128" i="25"/>
  <c r="BL136" i="25"/>
  <c r="BP136" i="25" s="1"/>
  <c r="CB136" i="25"/>
  <c r="BL144" i="25"/>
  <c r="BP144" i="25" s="1"/>
  <c r="CB144" i="25"/>
  <c r="CB152" i="25"/>
  <c r="BL152" i="25"/>
  <c r="BP152" i="25" s="1"/>
  <c r="CB160" i="25"/>
  <c r="BL160" i="25"/>
  <c r="BP160" i="25" s="1"/>
  <c r="BL168" i="25"/>
  <c r="BP168" i="25" s="1"/>
  <c r="CB168" i="25"/>
  <c r="CB176" i="25"/>
  <c r="BL176" i="25"/>
  <c r="BP176" i="25" s="1"/>
  <c r="CB184" i="25"/>
  <c r="BL184" i="25"/>
  <c r="BP184" i="25" s="1"/>
  <c r="CB192" i="25"/>
  <c r="BL192" i="25"/>
  <c r="BP192" i="25" s="1"/>
  <c r="BL130" i="25"/>
  <c r="BP130" i="25" s="1"/>
  <c r="CB130" i="25"/>
  <c r="CB146" i="25"/>
  <c r="BL146" i="25"/>
  <c r="BP146" i="25" s="1"/>
  <c r="CB162" i="25"/>
  <c r="BL162" i="25"/>
  <c r="BP162" i="25" s="1"/>
  <c r="CB178" i="25"/>
  <c r="BL178" i="25"/>
  <c r="BP178" i="25" s="1"/>
  <c r="CB194" i="25"/>
  <c r="BL194" i="25"/>
  <c r="BP194" i="25" s="1"/>
  <c r="CB143" i="25"/>
  <c r="BL143" i="25"/>
  <c r="BP143" i="25" s="1"/>
  <c r="BL159" i="25"/>
  <c r="BP159" i="25" s="1"/>
  <c r="CB159" i="25"/>
  <c r="CB175" i="25"/>
  <c r="BL175" i="25"/>
  <c r="BP175" i="25" s="1"/>
  <c r="BL191" i="25"/>
  <c r="BP191" i="25" s="1"/>
  <c r="CB191" i="25"/>
  <c r="CB202" i="25"/>
  <c r="BL202" i="25"/>
  <c r="BP202" i="25" s="1"/>
  <c r="CB210" i="25"/>
  <c r="BL210" i="25"/>
  <c r="BP210" i="25" s="1"/>
  <c r="BL207" i="25"/>
  <c r="BP207" i="25" s="1"/>
  <c r="CB207" i="25"/>
  <c r="U110" i="24"/>
  <c r="V110" i="24" s="1"/>
  <c r="N110" i="24"/>
  <c r="N210" i="24"/>
  <c r="P210" i="24" s="1"/>
  <c r="N212" i="24"/>
  <c r="S141" i="24"/>
  <c r="T141" i="24" s="1"/>
  <c r="BN141" i="24"/>
  <c r="BQ141" i="24" s="1"/>
  <c r="S184" i="24"/>
  <c r="T184" i="24" s="1"/>
  <c r="BN184" i="24"/>
  <c r="BQ184" i="24" s="1"/>
  <c r="Q226" i="24"/>
  <c r="Q290" i="24"/>
  <c r="Q233" i="24"/>
  <c r="Q282" i="24"/>
  <c r="Q277" i="24"/>
  <c r="Q292" i="24"/>
  <c r="Q254" i="24"/>
  <c r="Q284" i="24"/>
  <c r="Q230" i="24"/>
  <c r="Q257" i="24"/>
  <c r="Q248" i="24"/>
  <c r="Q222" i="24"/>
  <c r="Q312" i="24"/>
  <c r="O216" i="24"/>
  <c r="J216" i="24"/>
  <c r="J110" i="24"/>
  <c r="O110" i="24"/>
  <c r="BY110" i="24" s="1"/>
  <c r="S121" i="24"/>
  <c r="T121" i="24" s="1"/>
  <c r="J121" i="24" s="1"/>
  <c r="S262" i="24"/>
  <c r="T262" i="24" s="1"/>
  <c r="O262" i="24" s="1"/>
  <c r="Q150" i="24"/>
  <c r="S150" i="24"/>
  <c r="T150" i="24" s="1"/>
  <c r="S305" i="24"/>
  <c r="T305" i="24" s="1"/>
  <c r="O305" i="24" s="1"/>
  <c r="S257" i="24"/>
  <c r="T257" i="24" s="1"/>
  <c r="O257" i="24" s="1"/>
  <c r="Q155" i="24"/>
  <c r="S155" i="24"/>
  <c r="T155" i="24" s="1"/>
  <c r="S230" i="24"/>
  <c r="T230" i="24" s="1"/>
  <c r="J230" i="24" s="1"/>
  <c r="Q145" i="24"/>
  <c r="S145" i="24"/>
  <c r="T145" i="24" s="1"/>
  <c r="S284" i="24"/>
  <c r="T284" i="24" s="1"/>
  <c r="O284" i="24" s="1"/>
  <c r="S236" i="24"/>
  <c r="T236" i="24" s="1"/>
  <c r="J236" i="24" s="1"/>
  <c r="S314" i="24"/>
  <c r="T314" i="24" s="1"/>
  <c r="J314" i="24" s="1"/>
  <c r="S210" i="24"/>
  <c r="T210" i="24" s="1"/>
  <c r="S130" i="24"/>
  <c r="T130" i="24" s="1"/>
  <c r="O130" i="24" s="1"/>
  <c r="S180" i="24"/>
  <c r="T180" i="24" s="1"/>
  <c r="J180" i="24" s="1"/>
  <c r="AI180" i="24" s="1"/>
  <c r="S132" i="24"/>
  <c r="T132" i="24" s="1"/>
  <c r="O132" i="24" s="1"/>
  <c r="S271" i="24"/>
  <c r="T271" i="24" s="1"/>
  <c r="J271" i="24" s="1"/>
  <c r="S223" i="24"/>
  <c r="T223" i="24" s="1"/>
  <c r="J223" i="24" s="1"/>
  <c r="Q187" i="24"/>
  <c r="S187" i="24"/>
  <c r="T187" i="24" s="1"/>
  <c r="S113" i="24"/>
  <c r="T113" i="24" s="1"/>
  <c r="O113" i="24" s="1"/>
  <c r="Q125" i="24"/>
  <c r="S125" i="24"/>
  <c r="T125" i="24" s="1"/>
  <c r="Q163" i="24"/>
  <c r="S163" i="24"/>
  <c r="T163" i="24" s="1"/>
  <c r="S294" i="24"/>
  <c r="T294" i="24" s="1"/>
  <c r="J294" i="24" s="1"/>
  <c r="S242" i="24"/>
  <c r="T242" i="24" s="1"/>
  <c r="O242" i="24" s="1"/>
  <c r="S202" i="24"/>
  <c r="T202" i="24" s="1"/>
  <c r="J202" i="24" s="1"/>
  <c r="AI202" i="24" s="1"/>
  <c r="S174" i="24"/>
  <c r="T174" i="24" s="1"/>
  <c r="O174" i="24" s="1"/>
  <c r="S158" i="24"/>
  <c r="T158" i="24" s="1"/>
  <c r="O158" i="24" s="1"/>
  <c r="Q142" i="24"/>
  <c r="S142" i="24"/>
  <c r="T142" i="24" s="1"/>
  <c r="S313" i="24"/>
  <c r="T313" i="24" s="1"/>
  <c r="O313" i="24" s="1"/>
  <c r="S297" i="24"/>
  <c r="T297" i="24" s="1"/>
  <c r="J297" i="24" s="1"/>
  <c r="S281" i="24"/>
  <c r="T281" i="24" s="1"/>
  <c r="O281" i="24" s="1"/>
  <c r="S265" i="24"/>
  <c r="T265" i="24" s="1"/>
  <c r="O265" i="24" s="1"/>
  <c r="S249" i="24"/>
  <c r="T249" i="24" s="1"/>
  <c r="O249" i="24" s="1"/>
  <c r="S233" i="24"/>
  <c r="T233" i="24" s="1"/>
  <c r="J233" i="24" s="1"/>
  <c r="Q183" i="24"/>
  <c r="S183" i="24"/>
  <c r="T183" i="24" s="1"/>
  <c r="S306" i="24"/>
  <c r="T306" i="24" s="1"/>
  <c r="O306" i="24" s="1"/>
  <c r="S254" i="24"/>
  <c r="T254" i="24" s="1"/>
  <c r="J254" i="24" s="1"/>
  <c r="S198" i="24"/>
  <c r="T198" i="24" s="1"/>
  <c r="O198" i="24" s="1"/>
  <c r="S197" i="24"/>
  <c r="T197" i="24" s="1"/>
  <c r="J197" i="24" s="1"/>
  <c r="S153" i="24"/>
  <c r="T153" i="24" s="1"/>
  <c r="O153" i="24" s="1"/>
  <c r="Q137" i="24"/>
  <c r="S137" i="24"/>
  <c r="T137" i="24" s="1"/>
  <c r="S308" i="24"/>
  <c r="T308" i="24" s="1"/>
  <c r="O308" i="24" s="1"/>
  <c r="S292" i="24"/>
  <c r="T292" i="24" s="1"/>
  <c r="J292" i="24" s="1"/>
  <c r="S276" i="24"/>
  <c r="T276" i="24" s="1"/>
  <c r="O276" i="24" s="1"/>
  <c r="S260" i="24"/>
  <c r="T260" i="24" s="1"/>
  <c r="O260" i="24" s="1"/>
  <c r="S244" i="24"/>
  <c r="T244" i="24" s="1"/>
  <c r="O244" i="24" s="1"/>
  <c r="S228" i="24"/>
  <c r="T228" i="24" s="1"/>
  <c r="J228" i="24" s="1"/>
  <c r="S171" i="24"/>
  <c r="T171" i="24" s="1"/>
  <c r="O171" i="24" s="1"/>
  <c r="S135" i="24"/>
  <c r="T135" i="24" s="1"/>
  <c r="J135" i="24" s="1"/>
  <c r="AI135" i="24" s="1"/>
  <c r="S298" i="24"/>
  <c r="T298" i="24" s="1"/>
  <c r="O298" i="24" s="1"/>
  <c r="S258" i="24"/>
  <c r="T258" i="24" s="1"/>
  <c r="J258" i="24" s="1"/>
  <c r="Q128" i="24"/>
  <c r="S128" i="24"/>
  <c r="T128" i="24" s="1"/>
  <c r="Q194" i="24"/>
  <c r="S194" i="24"/>
  <c r="T194" i="24" s="1"/>
  <c r="Q115" i="24"/>
  <c r="S115" i="24"/>
  <c r="T115" i="24" s="1"/>
  <c r="S189" i="24"/>
  <c r="T189" i="24" s="1"/>
  <c r="O189" i="24" s="1"/>
  <c r="Q161" i="24"/>
  <c r="S161" i="24"/>
  <c r="T161" i="24" s="1"/>
  <c r="Q122" i="24"/>
  <c r="S122" i="24"/>
  <c r="T122" i="24" s="1"/>
  <c r="S204" i="24"/>
  <c r="T204" i="24" s="1"/>
  <c r="O204" i="24" s="1"/>
  <c r="Q188" i="24"/>
  <c r="S188" i="24"/>
  <c r="T188" i="24" s="1"/>
  <c r="Q172" i="24"/>
  <c r="S172" i="24"/>
  <c r="T172" i="24" s="1"/>
  <c r="S156" i="24"/>
  <c r="T156" i="24" s="1"/>
  <c r="O156" i="24" s="1"/>
  <c r="S140" i="24"/>
  <c r="T140" i="24" s="1"/>
  <c r="J140" i="24" s="1"/>
  <c r="AI140" i="24" s="1"/>
  <c r="S311" i="24"/>
  <c r="T311" i="24" s="1"/>
  <c r="O311" i="24" s="1"/>
  <c r="S295" i="24"/>
  <c r="T295" i="24" s="1"/>
  <c r="O295" i="24" s="1"/>
  <c r="S279" i="24"/>
  <c r="T279" i="24" s="1"/>
  <c r="J279" i="24" s="1"/>
  <c r="S263" i="24"/>
  <c r="T263" i="24" s="1"/>
  <c r="O263" i="24" s="1"/>
  <c r="S247" i="24"/>
  <c r="T247" i="24" s="1"/>
  <c r="J247" i="24" s="1"/>
  <c r="S231" i="24"/>
  <c r="T231" i="24" s="1"/>
  <c r="O231" i="24" s="1"/>
  <c r="Q199" i="24"/>
  <c r="S199" i="24"/>
  <c r="T199" i="24" s="1"/>
  <c r="Q131" i="24"/>
  <c r="S131" i="24"/>
  <c r="T131" i="24" s="1"/>
  <c r="Q182" i="24"/>
  <c r="S182" i="24"/>
  <c r="T182" i="24" s="1"/>
  <c r="S289" i="24"/>
  <c r="T289" i="24" s="1"/>
  <c r="O289" i="24" s="1"/>
  <c r="S225" i="24"/>
  <c r="T225" i="24" s="1"/>
  <c r="O225" i="24" s="1"/>
  <c r="Q123" i="24"/>
  <c r="S123" i="24"/>
  <c r="T123" i="24" s="1"/>
  <c r="S316" i="24"/>
  <c r="T316" i="24" s="1"/>
  <c r="J316" i="24" s="1"/>
  <c r="S252" i="24"/>
  <c r="T252" i="24" s="1"/>
  <c r="O252" i="24" s="1"/>
  <c r="S151" i="24"/>
  <c r="T151" i="24" s="1"/>
  <c r="O151" i="24" s="1"/>
  <c r="S234" i="24"/>
  <c r="T234" i="24" s="1"/>
  <c r="J234" i="24" s="1"/>
  <c r="Q201" i="24"/>
  <c r="S201" i="24"/>
  <c r="T201" i="24" s="1"/>
  <c r="S114" i="24"/>
  <c r="T114" i="24" s="1"/>
  <c r="O114" i="24" s="1"/>
  <c r="S164" i="24"/>
  <c r="T164" i="24" s="1"/>
  <c r="J164" i="24" s="1"/>
  <c r="AI164" i="24" s="1"/>
  <c r="S303" i="24"/>
  <c r="T303" i="24" s="1"/>
  <c r="J303" i="24" s="1"/>
  <c r="S255" i="24"/>
  <c r="T255" i="24" s="1"/>
  <c r="O255" i="24" s="1"/>
  <c r="S117" i="24"/>
  <c r="T117" i="24" s="1"/>
  <c r="O117" i="24" s="1"/>
  <c r="S195" i="24"/>
  <c r="T195" i="24" s="1"/>
  <c r="O195" i="24" s="1"/>
  <c r="Q207" i="24"/>
  <c r="S207" i="24"/>
  <c r="T207" i="24" s="1"/>
  <c r="S147" i="24"/>
  <c r="T147" i="24" s="1"/>
  <c r="O147" i="24" s="1"/>
  <c r="S282" i="24"/>
  <c r="T282" i="24" s="1"/>
  <c r="O282" i="24" s="1"/>
  <c r="S226" i="24"/>
  <c r="T226" i="24" s="1"/>
  <c r="O226" i="24" s="1"/>
  <c r="Q186" i="24"/>
  <c r="S186" i="24"/>
  <c r="T186" i="24" s="1"/>
  <c r="Q170" i="24"/>
  <c r="S170" i="24"/>
  <c r="T170" i="24" s="1"/>
  <c r="Q154" i="24"/>
  <c r="S154" i="24"/>
  <c r="T154" i="24" s="1"/>
  <c r="S138" i="24"/>
  <c r="T138" i="24" s="1"/>
  <c r="J138" i="24" s="1"/>
  <c r="AI138" i="24" s="1"/>
  <c r="S309" i="24"/>
  <c r="T309" i="24" s="1"/>
  <c r="J309" i="24" s="1"/>
  <c r="S293" i="24"/>
  <c r="T293" i="24" s="1"/>
  <c r="J293" i="24" s="1"/>
  <c r="S277" i="24"/>
  <c r="T277" i="24" s="1"/>
  <c r="O277" i="24" s="1"/>
  <c r="S261" i="24"/>
  <c r="T261" i="24" s="1"/>
  <c r="O261" i="24" s="1"/>
  <c r="S245" i="24"/>
  <c r="T245" i="24" s="1"/>
  <c r="J245" i="24" s="1"/>
  <c r="S229" i="24"/>
  <c r="T229" i="24" s="1"/>
  <c r="J229" i="24" s="1"/>
  <c r="Q167" i="24"/>
  <c r="S167" i="24"/>
  <c r="T167" i="24" s="1"/>
  <c r="S290" i="24"/>
  <c r="T290" i="24" s="1"/>
  <c r="O290" i="24" s="1"/>
  <c r="S238" i="24"/>
  <c r="T238" i="24" s="1"/>
  <c r="O238" i="24" s="1"/>
  <c r="S190" i="24"/>
  <c r="T190" i="24" s="1"/>
  <c r="O190" i="24" s="1"/>
  <c r="S185" i="24"/>
  <c r="T185" i="24" s="1"/>
  <c r="O185" i="24" s="1"/>
  <c r="Q149" i="24"/>
  <c r="S149" i="24"/>
  <c r="T149" i="24" s="1"/>
  <c r="S133" i="24"/>
  <c r="T133" i="24" s="1"/>
  <c r="O133" i="24" s="1"/>
  <c r="S304" i="24"/>
  <c r="T304" i="24" s="1"/>
  <c r="J304" i="24" s="1"/>
  <c r="S288" i="24"/>
  <c r="T288" i="24" s="1"/>
  <c r="J288" i="24" s="1"/>
  <c r="S272" i="24"/>
  <c r="T272" i="24" s="1"/>
  <c r="J272" i="24" s="1"/>
  <c r="S256" i="24"/>
  <c r="T256" i="24" s="1"/>
  <c r="J256" i="24" s="1"/>
  <c r="S240" i="24"/>
  <c r="T240" i="24" s="1"/>
  <c r="J240" i="24" s="1"/>
  <c r="S224" i="24"/>
  <c r="T224" i="24" s="1"/>
  <c r="J224" i="24" s="1"/>
  <c r="Q159" i="24"/>
  <c r="S159" i="24"/>
  <c r="T159" i="24" s="1"/>
  <c r="S217" i="24"/>
  <c r="T217" i="24" s="1"/>
  <c r="O217" i="24" s="1"/>
  <c r="S286" i="24"/>
  <c r="T286" i="24" s="1"/>
  <c r="J286" i="24" s="1"/>
  <c r="S246" i="24"/>
  <c r="T246" i="24" s="1"/>
  <c r="O246" i="24" s="1"/>
  <c r="S124" i="24"/>
  <c r="T124" i="24" s="1"/>
  <c r="J124" i="24" s="1"/>
  <c r="AI124" i="24" s="1"/>
  <c r="Q112" i="24"/>
  <c r="S112" i="24"/>
  <c r="T112" i="24" s="1"/>
  <c r="Q205" i="24"/>
  <c r="S205" i="24"/>
  <c r="T205" i="24" s="1"/>
  <c r="Q181" i="24"/>
  <c r="S181" i="24"/>
  <c r="T181" i="24" s="1"/>
  <c r="Q157" i="24"/>
  <c r="S157" i="24"/>
  <c r="T157" i="24" s="1"/>
  <c r="S118" i="24"/>
  <c r="T118" i="24" s="1"/>
  <c r="J118" i="24" s="1"/>
  <c r="AI118" i="24" s="1"/>
  <c r="S200" i="24"/>
  <c r="T200" i="24" s="1"/>
  <c r="J200" i="24" s="1"/>
  <c r="AI200" i="24" s="1"/>
  <c r="S168" i="24"/>
  <c r="T168" i="24" s="1"/>
  <c r="O168" i="24" s="1"/>
  <c r="Q152" i="24"/>
  <c r="S152" i="24"/>
  <c r="T152" i="24" s="1"/>
  <c r="Q136" i="24"/>
  <c r="S136" i="24"/>
  <c r="T136" i="24" s="1"/>
  <c r="S307" i="24"/>
  <c r="T307" i="24" s="1"/>
  <c r="J307" i="24" s="1"/>
  <c r="S291" i="24"/>
  <c r="T291" i="24" s="1"/>
  <c r="O291" i="24" s="1"/>
  <c r="S275" i="24"/>
  <c r="T275" i="24" s="1"/>
  <c r="J275" i="24" s="1"/>
  <c r="S259" i="24"/>
  <c r="T259" i="24" s="1"/>
  <c r="J259" i="24" s="1"/>
  <c r="S243" i="24"/>
  <c r="T243" i="24" s="1"/>
  <c r="J243" i="24" s="1"/>
  <c r="S227" i="24"/>
  <c r="T227" i="24" s="1"/>
  <c r="J227" i="24" s="1"/>
  <c r="S191" i="24"/>
  <c r="T191" i="24" s="1"/>
  <c r="O191" i="24" s="1"/>
  <c r="S111" i="24"/>
  <c r="T111" i="24" s="1"/>
  <c r="J111" i="24" s="1"/>
  <c r="S166" i="24"/>
  <c r="T166" i="24" s="1"/>
  <c r="O166" i="24" s="1"/>
  <c r="Q134" i="24"/>
  <c r="S134" i="24"/>
  <c r="T134" i="24" s="1"/>
  <c r="S273" i="24"/>
  <c r="T273" i="24" s="1"/>
  <c r="J273" i="24" s="1"/>
  <c r="S241" i="24"/>
  <c r="T241" i="24" s="1"/>
  <c r="J241" i="24" s="1"/>
  <c r="S278" i="24"/>
  <c r="T278" i="24" s="1"/>
  <c r="O278" i="24" s="1"/>
  <c r="S173" i="24"/>
  <c r="T173" i="24" s="1"/>
  <c r="J173" i="24" s="1"/>
  <c r="AI173" i="24" s="1"/>
  <c r="S300" i="24"/>
  <c r="T300" i="24" s="1"/>
  <c r="J300" i="24" s="1"/>
  <c r="S268" i="24"/>
  <c r="T268" i="24" s="1"/>
  <c r="J268" i="24" s="1"/>
  <c r="S220" i="24"/>
  <c r="T220" i="24" s="1"/>
  <c r="J220" i="24" s="1"/>
  <c r="S274" i="24"/>
  <c r="T274" i="24" s="1"/>
  <c r="J274" i="24" s="1"/>
  <c r="S127" i="24"/>
  <c r="T127" i="24" s="1"/>
  <c r="J127" i="24" s="1"/>
  <c r="Q177" i="24"/>
  <c r="S177" i="24"/>
  <c r="T177" i="24" s="1"/>
  <c r="Q196" i="24"/>
  <c r="S196" i="24"/>
  <c r="T196" i="24" s="1"/>
  <c r="Q148" i="24"/>
  <c r="S148" i="24"/>
  <c r="T148" i="24" s="1"/>
  <c r="S287" i="24"/>
  <c r="T287" i="24" s="1"/>
  <c r="J287" i="24" s="1"/>
  <c r="S239" i="24"/>
  <c r="T239" i="24" s="1"/>
  <c r="J239" i="24" s="1"/>
  <c r="Q203" i="24"/>
  <c r="S203" i="24"/>
  <c r="T203" i="24" s="1"/>
  <c r="S129" i="24"/>
  <c r="T129" i="24" s="1"/>
  <c r="J129" i="24" s="1"/>
  <c r="AI129" i="24" s="1"/>
  <c r="Q179" i="24"/>
  <c r="S179" i="24"/>
  <c r="T179" i="24" s="1"/>
  <c r="S310" i="24"/>
  <c r="T310" i="24" s="1"/>
  <c r="J310" i="24" s="1"/>
  <c r="S250" i="24"/>
  <c r="T250" i="24" s="1"/>
  <c r="J250" i="24" s="1"/>
  <c r="S120" i="24"/>
  <c r="T120" i="24" s="1"/>
  <c r="O120" i="24" s="1"/>
  <c r="S178" i="24"/>
  <c r="T178" i="24" s="1"/>
  <c r="J178" i="24" s="1"/>
  <c r="AI178" i="24" s="1"/>
  <c r="Q162" i="24"/>
  <c r="S162" i="24"/>
  <c r="T162" i="24" s="1"/>
  <c r="S146" i="24"/>
  <c r="T146" i="24" s="1"/>
  <c r="O146" i="24" s="1"/>
  <c r="S218" i="24"/>
  <c r="T218" i="24" s="1"/>
  <c r="J218" i="24" s="1"/>
  <c r="S301" i="24"/>
  <c r="T301" i="24" s="1"/>
  <c r="J301" i="24" s="1"/>
  <c r="S285" i="24"/>
  <c r="T285" i="24" s="1"/>
  <c r="J285" i="24" s="1"/>
  <c r="S269" i="24"/>
  <c r="T269" i="24" s="1"/>
  <c r="O269" i="24" s="1"/>
  <c r="S253" i="24"/>
  <c r="T253" i="24" s="1"/>
  <c r="O253" i="24" s="1"/>
  <c r="S237" i="24"/>
  <c r="T237" i="24" s="1"/>
  <c r="O237" i="24" s="1"/>
  <c r="S221" i="24"/>
  <c r="T221" i="24" s="1"/>
  <c r="J221" i="24" s="1"/>
  <c r="S139" i="24"/>
  <c r="T139" i="24" s="1"/>
  <c r="O139" i="24" s="1"/>
  <c r="S266" i="24"/>
  <c r="T266" i="24" s="1"/>
  <c r="J266" i="24" s="1"/>
  <c r="Q116" i="24"/>
  <c r="S116" i="24"/>
  <c r="T116" i="24" s="1"/>
  <c r="S209" i="24"/>
  <c r="T209" i="24" s="1"/>
  <c r="O209" i="24" s="1"/>
  <c r="Q165" i="24"/>
  <c r="S165" i="24"/>
  <c r="T165" i="24" s="1"/>
  <c r="S312" i="24"/>
  <c r="T312" i="24" s="1"/>
  <c r="O312" i="24" s="1"/>
  <c r="S296" i="24"/>
  <c r="T296" i="24" s="1"/>
  <c r="O296" i="24" s="1"/>
  <c r="S280" i="24"/>
  <c r="T280" i="24" s="1"/>
  <c r="O280" i="24" s="1"/>
  <c r="S264" i="24"/>
  <c r="T264" i="24" s="1"/>
  <c r="J264" i="24" s="1"/>
  <c r="S248" i="24"/>
  <c r="T248" i="24" s="1"/>
  <c r="O248" i="24" s="1"/>
  <c r="S232" i="24"/>
  <c r="T232" i="24" s="1"/>
  <c r="O232" i="24" s="1"/>
  <c r="S175" i="24"/>
  <c r="T175" i="24" s="1"/>
  <c r="J175" i="24" s="1"/>
  <c r="AI175" i="24" s="1"/>
  <c r="S143" i="24"/>
  <c r="T143" i="24" s="1"/>
  <c r="O143" i="24" s="1"/>
  <c r="S302" i="24"/>
  <c r="T302" i="24" s="1"/>
  <c r="J302" i="24" s="1"/>
  <c r="S270" i="24"/>
  <c r="T270" i="24" s="1"/>
  <c r="O270" i="24" s="1"/>
  <c r="S222" i="24"/>
  <c r="T222" i="24" s="1"/>
  <c r="J222" i="24" s="1"/>
  <c r="Q206" i="24"/>
  <c r="S206" i="24"/>
  <c r="T206" i="24" s="1"/>
  <c r="Q119" i="24"/>
  <c r="S119" i="24"/>
  <c r="T119" i="24" s="1"/>
  <c r="S193" i="24"/>
  <c r="T193" i="24" s="1"/>
  <c r="O193" i="24" s="1"/>
  <c r="Q169" i="24"/>
  <c r="S169" i="24"/>
  <c r="T169" i="24" s="1"/>
  <c r="S126" i="24"/>
  <c r="T126" i="24" s="1"/>
  <c r="J126" i="24" s="1"/>
  <c r="AI126" i="24" s="1"/>
  <c r="Q208" i="24"/>
  <c r="S208" i="24"/>
  <c r="T208" i="24" s="1"/>
  <c r="Q192" i="24"/>
  <c r="S192" i="24"/>
  <c r="T192" i="24" s="1"/>
  <c r="S176" i="24"/>
  <c r="T176" i="24" s="1"/>
  <c r="O176" i="24" s="1"/>
  <c r="S160" i="24"/>
  <c r="T160" i="24" s="1"/>
  <c r="J160" i="24" s="1"/>
  <c r="AI160" i="24" s="1"/>
  <c r="S144" i="24"/>
  <c r="T144" i="24" s="1"/>
  <c r="O144" i="24" s="1"/>
  <c r="S315" i="24"/>
  <c r="T315" i="24" s="1"/>
  <c r="J315" i="24" s="1"/>
  <c r="S299" i="24"/>
  <c r="T299" i="24" s="1"/>
  <c r="O299" i="24" s="1"/>
  <c r="S283" i="24"/>
  <c r="T283" i="24" s="1"/>
  <c r="O283" i="24" s="1"/>
  <c r="S267" i="24"/>
  <c r="T267" i="24" s="1"/>
  <c r="O267" i="24" s="1"/>
  <c r="S251" i="24"/>
  <c r="T251" i="24" s="1"/>
  <c r="J251" i="24" s="1"/>
  <c r="S235" i="24"/>
  <c r="T235" i="24" s="1"/>
  <c r="J235" i="24" s="1"/>
  <c r="S219" i="24"/>
  <c r="T219" i="24" s="1"/>
  <c r="J219" i="24" s="1"/>
  <c r="CD21" i="24"/>
  <c r="CD88" i="24"/>
  <c r="CD72" i="24"/>
  <c r="CD56" i="24"/>
  <c r="CD40" i="24"/>
  <c r="CD24" i="24"/>
  <c r="CD8" i="24"/>
  <c r="CD31" i="24"/>
  <c r="CD15" i="24"/>
  <c r="CD102" i="24"/>
  <c r="CD86" i="24"/>
  <c r="CD38" i="24"/>
  <c r="CD22" i="24"/>
  <c r="CD85" i="24"/>
  <c r="CD25" i="24"/>
  <c r="CD9" i="24"/>
  <c r="CD76" i="24"/>
  <c r="CD44" i="24"/>
  <c r="CD28" i="24"/>
  <c r="CD12" i="24"/>
  <c r="CD99" i="24"/>
  <c r="CD83" i="24"/>
  <c r="CD35" i="24"/>
  <c r="CD19" i="24"/>
  <c r="CD41" i="24"/>
  <c r="CD26" i="24"/>
  <c r="CD10" i="24"/>
  <c r="Q285" i="24"/>
  <c r="Q299" i="24"/>
  <c r="Q264" i="24"/>
  <c r="CD65" i="24"/>
  <c r="CD33" i="24"/>
  <c r="CD17" i="24"/>
  <c r="CD100" i="24"/>
  <c r="CD52" i="24"/>
  <c r="CD101" i="24"/>
  <c r="CD37" i="24"/>
  <c r="CD91" i="24"/>
  <c r="CD75" i="24"/>
  <c r="CD59" i="24"/>
  <c r="CD43" i="24"/>
  <c r="CD27" i="24"/>
  <c r="CD11" i="24"/>
  <c r="CD69" i="24"/>
  <c r="CD66" i="24"/>
  <c r="CD34" i="24"/>
  <c r="CD18" i="24"/>
  <c r="Q237" i="24"/>
  <c r="Q269" i="24"/>
  <c r="Q251" i="24"/>
  <c r="Q219" i="24"/>
  <c r="Q296" i="24"/>
  <c r="Q302" i="24"/>
  <c r="Q221" i="24"/>
  <c r="Q253" i="24"/>
  <c r="Q266" i="24"/>
  <c r="CD57" i="24"/>
  <c r="CD29" i="24"/>
  <c r="CD13" i="24"/>
  <c r="CD96" i="24"/>
  <c r="CD80" i="24"/>
  <c r="CD64" i="24"/>
  <c r="CD48" i="24"/>
  <c r="CD32" i="24"/>
  <c r="CD16" i="24"/>
  <c r="CD103" i="24"/>
  <c r="CD71" i="24"/>
  <c r="CD55" i="24"/>
  <c r="CD39" i="24"/>
  <c r="CD23" i="24"/>
  <c r="CD7" i="24"/>
  <c r="CD53" i="24"/>
  <c r="CD62" i="24"/>
  <c r="CD46" i="24"/>
  <c r="CD30" i="24"/>
  <c r="CD14" i="24"/>
  <c r="Q267" i="24"/>
  <c r="Q232" i="24"/>
  <c r="Q270" i="24"/>
  <c r="Q315" i="24"/>
  <c r="Q303" i="24"/>
  <c r="Q316" i="24"/>
  <c r="Q278" i="24"/>
  <c r="Q241" i="24"/>
  <c r="Q239" i="24"/>
  <c r="Q223" i="24"/>
  <c r="Q287" i="24"/>
  <c r="Q252" i="24"/>
  <c r="Q262" i="24"/>
  <c r="Q314" i="24"/>
  <c r="Q271" i="24"/>
  <c r="Q236" i="24"/>
  <c r="Q301" i="24"/>
  <c r="Q250" i="24"/>
  <c r="Q280" i="24"/>
  <c r="Q218" i="24"/>
  <c r="Q306" i="24"/>
  <c r="Q295" i="24"/>
  <c r="Q249" i="24"/>
  <c r="Q313" i="24"/>
  <c r="Q260" i="24"/>
  <c r="Q281" i="24"/>
  <c r="Q242" i="24"/>
  <c r="Q220" i="24"/>
  <c r="Q308" i="24"/>
  <c r="Q273" i="24"/>
  <c r="Q305" i="24"/>
  <c r="Q234" i="24"/>
  <c r="Q298" i="24"/>
  <c r="Q268" i="24"/>
  <c r="Q244" i="24"/>
  <c r="Q297" i="24"/>
  <c r="Q258" i="24"/>
  <c r="Q311" i="24"/>
  <c r="Q294" i="24"/>
  <c r="Q231" i="24"/>
  <c r="Q247" i="24"/>
  <c r="Q276" i="24"/>
  <c r="P189" i="24"/>
  <c r="Q189" i="24"/>
  <c r="P124" i="24"/>
  <c r="Q124" i="24"/>
  <c r="P156" i="24"/>
  <c r="Q156" i="24"/>
  <c r="P193" i="24"/>
  <c r="Q193" i="24"/>
  <c r="Q217" i="24"/>
  <c r="Q275" i="24"/>
  <c r="Q240" i="24"/>
  <c r="Q304" i="24"/>
  <c r="Q245" i="24"/>
  <c r="Q238" i="24"/>
  <c r="P160" i="24"/>
  <c r="Q160" i="24"/>
  <c r="P143" i="24"/>
  <c r="Q143" i="24"/>
  <c r="P138" i="24"/>
  <c r="Q138" i="24"/>
  <c r="P140" i="24"/>
  <c r="Q140" i="24"/>
  <c r="P164" i="24"/>
  <c r="Q164" i="24"/>
  <c r="P121" i="24"/>
  <c r="Q121" i="24"/>
  <c r="P117" i="24"/>
  <c r="Q117" i="24"/>
  <c r="P175" i="24"/>
  <c r="Q175" i="24"/>
  <c r="P114" i="24"/>
  <c r="Q114" i="24"/>
  <c r="P132" i="24"/>
  <c r="Q132" i="24"/>
  <c r="P176" i="24"/>
  <c r="Q176" i="24"/>
  <c r="P120" i="24"/>
  <c r="Q120" i="24"/>
  <c r="P209" i="24"/>
  <c r="Q209" i="24"/>
  <c r="P191" i="24"/>
  <c r="Q191" i="24"/>
  <c r="P204" i="24"/>
  <c r="Q204" i="24"/>
  <c r="P147" i="24"/>
  <c r="Q147" i="24"/>
  <c r="P178" i="24"/>
  <c r="Q178" i="24"/>
  <c r="P151" i="24"/>
  <c r="Q151" i="24"/>
  <c r="P180" i="24"/>
  <c r="Q180" i="24"/>
  <c r="Q246" i="24"/>
  <c r="Q224" i="24"/>
  <c r="Q293" i="24"/>
  <c r="Q286" i="24"/>
  <c r="P141" i="24"/>
  <c r="Q141" i="24"/>
  <c r="P174" i="24"/>
  <c r="Q174" i="24"/>
  <c r="P133" i="24"/>
  <c r="Q133" i="24"/>
  <c r="P171" i="24"/>
  <c r="Q171" i="24"/>
  <c r="P111" i="24"/>
  <c r="Q111" i="24"/>
  <c r="P185" i="24"/>
  <c r="Q185" i="24"/>
  <c r="P173" i="24"/>
  <c r="Q173" i="24"/>
  <c r="P127" i="24"/>
  <c r="Q127" i="24"/>
  <c r="P198" i="24"/>
  <c r="Q198" i="24"/>
  <c r="P202" i="24"/>
  <c r="Q202" i="24"/>
  <c r="P153" i="24"/>
  <c r="Q153" i="24"/>
  <c r="P166" i="24"/>
  <c r="Q166" i="24"/>
  <c r="P129" i="24"/>
  <c r="Q129" i="24"/>
  <c r="P146" i="24"/>
  <c r="Q146" i="24"/>
  <c r="P113" i="24"/>
  <c r="Q113" i="24"/>
  <c r="P184" i="24"/>
  <c r="Q184" i="24"/>
  <c r="P168" i="24"/>
  <c r="Q168" i="24"/>
  <c r="P130" i="24"/>
  <c r="Q130" i="24"/>
  <c r="Q227" i="24"/>
  <c r="Q259" i="24"/>
  <c r="Q288" i="24"/>
  <c r="Q307" i="24"/>
  <c r="Q229" i="24"/>
  <c r="Q261" i="24"/>
  <c r="P195" i="24"/>
  <c r="Q195" i="24"/>
  <c r="P139" i="24"/>
  <c r="Q139" i="24"/>
  <c r="P190" i="24"/>
  <c r="Q190" i="24"/>
  <c r="P197" i="24"/>
  <c r="Q197" i="24"/>
  <c r="P118" i="24"/>
  <c r="Q118" i="24"/>
  <c r="P135" i="24"/>
  <c r="Q135" i="24"/>
  <c r="P158" i="24"/>
  <c r="Q158" i="24"/>
  <c r="P126" i="24"/>
  <c r="Q126" i="24"/>
  <c r="P200" i="24"/>
  <c r="Q200" i="24"/>
  <c r="P144" i="24"/>
  <c r="Q144" i="24"/>
  <c r="U203" i="24"/>
  <c r="U179" i="24"/>
  <c r="U162" i="24"/>
  <c r="U116" i="24"/>
  <c r="U165" i="24"/>
  <c r="U141" i="24"/>
  <c r="U206" i="24"/>
  <c r="V206" i="24" s="1"/>
  <c r="U119" i="24"/>
  <c r="V119" i="24" s="1"/>
  <c r="U169" i="24"/>
  <c r="U208" i="24"/>
  <c r="U192" i="24"/>
  <c r="U187" i="24"/>
  <c r="U125" i="24"/>
  <c r="U163" i="24"/>
  <c r="U142" i="24"/>
  <c r="V142" i="24" s="1"/>
  <c r="U183" i="24"/>
  <c r="U137" i="24"/>
  <c r="V137" i="24" s="1"/>
  <c r="U128" i="24"/>
  <c r="U194" i="24"/>
  <c r="U115" i="24"/>
  <c r="U161" i="24"/>
  <c r="V161" i="24" s="1"/>
  <c r="U122" i="24"/>
  <c r="V122" i="24" s="1"/>
  <c r="U188" i="24"/>
  <c r="V188" i="24" s="1"/>
  <c r="U172" i="24"/>
  <c r="U207" i="24"/>
  <c r="U186" i="24"/>
  <c r="U170" i="24"/>
  <c r="V170" i="24" s="1"/>
  <c r="U154" i="24"/>
  <c r="U167" i="24"/>
  <c r="U149" i="24"/>
  <c r="V149" i="24" s="1"/>
  <c r="U159" i="24"/>
  <c r="U112" i="24"/>
  <c r="U205" i="24"/>
  <c r="U181" i="24"/>
  <c r="V181" i="24" s="1"/>
  <c r="U157" i="24"/>
  <c r="V157" i="24" s="1"/>
  <c r="U184" i="24"/>
  <c r="V184" i="24" s="1"/>
  <c r="U152" i="24"/>
  <c r="U136" i="24"/>
  <c r="V136" i="24" s="1"/>
  <c r="U199" i="24"/>
  <c r="U131" i="24"/>
  <c r="U182" i="24"/>
  <c r="V182" i="24" s="1"/>
  <c r="U150" i="24"/>
  <c r="V150" i="24" s="1"/>
  <c r="U134" i="24"/>
  <c r="V134" i="24" s="1"/>
  <c r="U155" i="24"/>
  <c r="V155" i="24" s="1"/>
  <c r="U123" i="24"/>
  <c r="U145" i="24"/>
  <c r="V145" i="24" s="1"/>
  <c r="U210" i="24"/>
  <c r="V210" i="24" s="1"/>
  <c r="U201" i="24"/>
  <c r="U177" i="24"/>
  <c r="V177" i="24" s="1"/>
  <c r="U196" i="24"/>
  <c r="V196" i="24" s="1"/>
  <c r="U148" i="24"/>
  <c r="V148" i="24" s="1"/>
  <c r="T117" i="25"/>
  <c r="T126" i="25"/>
  <c r="T127" i="25"/>
  <c r="T133" i="25"/>
  <c r="T141" i="25"/>
  <c r="T149" i="25"/>
  <c r="T157" i="25"/>
  <c r="T165" i="25"/>
  <c r="T173" i="25"/>
  <c r="T181" i="25"/>
  <c r="T189" i="25"/>
  <c r="T197" i="25"/>
  <c r="T142" i="25"/>
  <c r="T158" i="25"/>
  <c r="T190" i="25"/>
  <c r="T278" i="25"/>
  <c r="T139" i="25"/>
  <c r="T155" i="25"/>
  <c r="T171" i="25"/>
  <c r="T187" i="25"/>
  <c r="T209" i="25"/>
  <c r="T203" i="25"/>
  <c r="T258" i="25"/>
  <c r="T208" i="25"/>
  <c r="T245" i="25"/>
  <c r="T316" i="25"/>
  <c r="T281" i="25"/>
  <c r="T288" i="25"/>
  <c r="T306" i="25"/>
  <c r="T125" i="25"/>
  <c r="T128" i="25"/>
  <c r="T176" i="25"/>
  <c r="T146" i="25"/>
  <c r="T260" i="25"/>
  <c r="T271" i="25"/>
  <c r="T310" i="25"/>
  <c r="T121" i="25"/>
  <c r="T124" i="25"/>
  <c r="T118" i="25"/>
  <c r="T273" i="25"/>
  <c r="T145" i="25"/>
  <c r="T169" i="25"/>
  <c r="T177" i="25"/>
  <c r="T150" i="25"/>
  <c r="T198" i="25"/>
  <c r="T229" i="25"/>
  <c r="T131" i="25"/>
  <c r="T147" i="25"/>
  <c r="T163" i="25"/>
  <c r="T195" i="25"/>
  <c r="T205" i="25"/>
  <c r="T234" i="25"/>
  <c r="T266" i="25"/>
  <c r="T200" i="25"/>
  <c r="T280" i="25"/>
  <c r="T275" i="25"/>
  <c r="T314" i="25"/>
  <c r="T152" i="25"/>
  <c r="T184" i="25"/>
  <c r="T162" i="25"/>
  <c r="T202" i="25"/>
  <c r="T207" i="25"/>
  <c r="T292" i="25"/>
  <c r="T113" i="25"/>
  <c r="T122" i="25"/>
  <c r="T277" i="25"/>
  <c r="T132" i="25"/>
  <c r="T148" i="25"/>
  <c r="T156" i="25"/>
  <c r="T172" i="25"/>
  <c r="T180" i="25"/>
  <c r="T188" i="25"/>
  <c r="T138" i="25"/>
  <c r="T170" i="25"/>
  <c r="T256" i="25"/>
  <c r="T151" i="25"/>
  <c r="T183" i="25"/>
  <c r="T204" i="25"/>
  <c r="T309" i="25"/>
  <c r="T279" i="25"/>
  <c r="T120" i="25"/>
  <c r="T114" i="25"/>
  <c r="T168" i="25"/>
  <c r="T192" i="25"/>
  <c r="U204" i="24"/>
  <c r="V204" i="24" s="1"/>
  <c r="U120" i="24"/>
  <c r="V120" i="24" s="1"/>
  <c r="U209" i="24"/>
  <c r="V209" i="24" s="1"/>
  <c r="U175" i="24"/>
  <c r="U113" i="24"/>
  <c r="U202" i="24"/>
  <c r="V202" i="24" s="1"/>
  <c r="U198" i="24"/>
  <c r="U153" i="24"/>
  <c r="V153" i="24" s="1"/>
  <c r="U176" i="24"/>
  <c r="T111" i="25"/>
  <c r="T123" i="25"/>
  <c r="T140" i="25"/>
  <c r="T167" i="25"/>
  <c r="T206" i="25"/>
  <c r="T274" i="25"/>
  <c r="T136" i="25"/>
  <c r="T144" i="25"/>
  <c r="U191" i="24"/>
  <c r="U166" i="24"/>
  <c r="V166" i="24" s="1"/>
  <c r="U173" i="24"/>
  <c r="U127" i="24"/>
  <c r="V127" i="24" s="1"/>
  <c r="U114" i="24"/>
  <c r="V114" i="24" s="1"/>
  <c r="U132" i="24"/>
  <c r="T112" i="25"/>
  <c r="T196" i="25"/>
  <c r="T186" i="25"/>
  <c r="T135" i="25"/>
  <c r="T199" i="25"/>
  <c r="T143" i="25"/>
  <c r="T210" i="25"/>
  <c r="U117" i="24"/>
  <c r="V117" i="24" s="1"/>
  <c r="U185" i="24"/>
  <c r="T129" i="25"/>
  <c r="T153" i="25"/>
  <c r="T166" i="25"/>
  <c r="T179" i="25"/>
  <c r="T222" i="25"/>
  <c r="T230" i="25"/>
  <c r="T217" i="25"/>
  <c r="T232" i="25"/>
  <c r="T240" i="25"/>
  <c r="T264" i="25"/>
  <c r="T224" i="25"/>
  <c r="T308" i="25"/>
  <c r="T238" i="25"/>
  <c r="T257" i="25"/>
  <c r="T294" i="25"/>
  <c r="T284" i="25"/>
  <c r="T300" i="25"/>
  <c r="T304" i="25"/>
  <c r="T225" i="25"/>
  <c r="T252" i="25"/>
  <c r="T246" i="25"/>
  <c r="T299" i="25"/>
  <c r="T276" i="25"/>
  <c r="T227" i="25"/>
  <c r="T270" i="25"/>
  <c r="T220" i="25"/>
  <c r="T298" i="25"/>
  <c r="T250" i="25"/>
  <c r="T286" i="25"/>
  <c r="T289" i="25"/>
  <c r="T311" i="25"/>
  <c r="T295" i="25"/>
  <c r="T243" i="25"/>
  <c r="T251" i="25"/>
  <c r="T228" i="25"/>
  <c r="T305" i="25"/>
  <c r="T219" i="25"/>
  <c r="T239" i="25"/>
  <c r="T263" i="25"/>
  <c r="T253" i="25"/>
  <c r="T303" i="25"/>
  <c r="U129" i="24"/>
  <c r="V129" i="24" s="1"/>
  <c r="U146" i="24"/>
  <c r="V146" i="24" s="1"/>
  <c r="U190" i="24"/>
  <c r="V190" i="24" s="1"/>
  <c r="U250" i="24"/>
  <c r="V250" i="24" s="1"/>
  <c r="U218" i="24"/>
  <c r="U301" i="24"/>
  <c r="V301" i="24" s="1"/>
  <c r="U285" i="24"/>
  <c r="V285" i="24" s="1"/>
  <c r="U269" i="24"/>
  <c r="V269" i="24" s="1"/>
  <c r="U253" i="24"/>
  <c r="V253" i="24" s="1"/>
  <c r="U237" i="24"/>
  <c r="U221" i="24"/>
  <c r="V221" i="24" s="1"/>
  <c r="U266" i="24"/>
  <c r="V266" i="24" s="1"/>
  <c r="U296" i="24"/>
  <c r="U280" i="24"/>
  <c r="V280" i="24" s="1"/>
  <c r="U264" i="24"/>
  <c r="U232" i="24"/>
  <c r="U143" i="24"/>
  <c r="U302" i="24"/>
  <c r="U270" i="24"/>
  <c r="U126" i="24"/>
  <c r="U144" i="24"/>
  <c r="V144" i="24" s="1"/>
  <c r="U315" i="24"/>
  <c r="V315" i="24" s="1"/>
  <c r="U299" i="24"/>
  <c r="U267" i="24"/>
  <c r="U251" i="24"/>
  <c r="V251" i="24" s="1"/>
  <c r="U219" i="24"/>
  <c r="V219" i="24" s="1"/>
  <c r="T164" i="25"/>
  <c r="T154" i="25"/>
  <c r="T248" i="25"/>
  <c r="T254" i="25"/>
  <c r="T283" i="25"/>
  <c r="T241" i="25"/>
  <c r="T293" i="25"/>
  <c r="T315" i="25"/>
  <c r="U158" i="24"/>
  <c r="U197" i="24"/>
  <c r="U135" i="24"/>
  <c r="V135" i="24" s="1"/>
  <c r="U189" i="24"/>
  <c r="T231" i="25"/>
  <c r="T290" i="25"/>
  <c r="T221" i="25"/>
  <c r="T242" i="25"/>
  <c r="T261" i="25"/>
  <c r="T272" i="25"/>
  <c r="T297" i="25"/>
  <c r="U147" i="24"/>
  <c r="U138" i="24"/>
  <c r="V138" i="24" s="1"/>
  <c r="U118" i="24"/>
  <c r="V118" i="24" s="1"/>
  <c r="U200" i="24"/>
  <c r="T236" i="25"/>
  <c r="T268" i="25"/>
  <c r="T282" i="25"/>
  <c r="T262" i="25"/>
  <c r="T233" i="25"/>
  <c r="T249" i="25"/>
  <c r="T265" i="25"/>
  <c r="T285" i="25"/>
  <c r="T312" i="25"/>
  <c r="T307" i="25"/>
  <c r="T302" i="25"/>
  <c r="N216" i="24"/>
  <c r="Q216" i="24" s="1"/>
  <c r="U216" i="24"/>
  <c r="V216" i="24" s="1"/>
  <c r="U312" i="24"/>
  <c r="U235" i="24"/>
  <c r="J77" i="23"/>
  <c r="L77" i="23" s="1"/>
  <c r="U294" i="24"/>
  <c r="U242" i="24"/>
  <c r="V242" i="24" s="1"/>
  <c r="U174" i="24"/>
  <c r="V174" i="24" s="1"/>
  <c r="U313" i="24"/>
  <c r="V313" i="24" s="1"/>
  <c r="U297" i="24"/>
  <c r="V297" i="24" s="1"/>
  <c r="U281" i="24"/>
  <c r="V281" i="24" s="1"/>
  <c r="U265" i="24"/>
  <c r="V265" i="24" s="1"/>
  <c r="U249" i="24"/>
  <c r="V249" i="24" s="1"/>
  <c r="U233" i="24"/>
  <c r="V233" i="24" s="1"/>
  <c r="U306" i="24"/>
  <c r="U254" i="24"/>
  <c r="U308" i="24"/>
  <c r="U292" i="24"/>
  <c r="V292" i="24" s="1"/>
  <c r="U276" i="24"/>
  <c r="U260" i="24"/>
  <c r="V260" i="24" s="1"/>
  <c r="U244" i="24"/>
  <c r="U228" i="24"/>
  <c r="V228" i="24" s="1"/>
  <c r="U171" i="24"/>
  <c r="V171" i="24" s="1"/>
  <c r="U298" i="24"/>
  <c r="V298" i="24" s="1"/>
  <c r="U258" i="24"/>
  <c r="V258" i="24" s="1"/>
  <c r="U156" i="24"/>
  <c r="U140" i="24"/>
  <c r="U311" i="24"/>
  <c r="V311" i="24" s="1"/>
  <c r="U295" i="24"/>
  <c r="V295" i="24" s="1"/>
  <c r="U279" i="24"/>
  <c r="U263" i="24"/>
  <c r="V263" i="24" s="1"/>
  <c r="U247" i="24"/>
  <c r="U231" i="24"/>
  <c r="T223" i="25"/>
  <c r="T235" i="25"/>
  <c r="T259" i="25"/>
  <c r="T267" i="25"/>
  <c r="T291" i="25"/>
  <c r="T301" i="25"/>
  <c r="O216" i="25"/>
  <c r="S216" i="25" s="1"/>
  <c r="K216" i="25" s="1"/>
  <c r="T216" i="25"/>
  <c r="U216" i="25" s="1"/>
  <c r="U283" i="24"/>
  <c r="V283" i="24" s="1"/>
  <c r="U282" i="24"/>
  <c r="V282" i="24" s="1"/>
  <c r="U226" i="24"/>
  <c r="V226" i="24" s="1"/>
  <c r="U309" i="24"/>
  <c r="U293" i="24"/>
  <c r="V293" i="24" s="1"/>
  <c r="U277" i="24"/>
  <c r="V277" i="24" s="1"/>
  <c r="U261" i="24"/>
  <c r="U245" i="24"/>
  <c r="U229" i="24"/>
  <c r="V229" i="24" s="1"/>
  <c r="U290" i="24"/>
  <c r="V290" i="24" s="1"/>
  <c r="U238" i="24"/>
  <c r="V238" i="24" s="1"/>
  <c r="U133" i="24"/>
  <c r="U304" i="24"/>
  <c r="U288" i="24"/>
  <c r="V288" i="24" s="1"/>
  <c r="U272" i="24"/>
  <c r="V272" i="24" s="1"/>
  <c r="U256" i="24"/>
  <c r="U240" i="24"/>
  <c r="V240" i="24" s="1"/>
  <c r="U224" i="24"/>
  <c r="V224" i="24" s="1"/>
  <c r="U217" i="24"/>
  <c r="V217" i="24" s="1"/>
  <c r="U286" i="24"/>
  <c r="U246" i="24"/>
  <c r="U307" i="24"/>
  <c r="V307" i="24" s="1"/>
  <c r="U291" i="24"/>
  <c r="V291" i="24" s="1"/>
  <c r="U275" i="24"/>
  <c r="V275" i="24" s="1"/>
  <c r="U259" i="24"/>
  <c r="V259" i="24" s="1"/>
  <c r="U243" i="24"/>
  <c r="U227" i="24"/>
  <c r="T218" i="25"/>
  <c r="T226" i="25"/>
  <c r="T269" i="25"/>
  <c r="T115" i="25"/>
  <c r="T194" i="25"/>
  <c r="T244" i="25"/>
  <c r="T287" i="25"/>
  <c r="T175" i="25"/>
  <c r="T191" i="25"/>
  <c r="U310" i="24"/>
  <c r="U248" i="24"/>
  <c r="V248" i="24" s="1"/>
  <c r="U222" i="24"/>
  <c r="U262" i="24"/>
  <c r="U111" i="24"/>
  <c r="U305" i="24"/>
  <c r="V305" i="24" s="1"/>
  <c r="U289" i="24"/>
  <c r="V289" i="24" s="1"/>
  <c r="U273" i="24"/>
  <c r="V273" i="24" s="1"/>
  <c r="U257" i="24"/>
  <c r="V257" i="24" s="1"/>
  <c r="U241" i="24"/>
  <c r="V241" i="24" s="1"/>
  <c r="U225" i="24"/>
  <c r="V225" i="24" s="1"/>
  <c r="U278" i="24"/>
  <c r="V278" i="24" s="1"/>
  <c r="U230" i="24"/>
  <c r="V230" i="24" s="1"/>
  <c r="U316" i="24"/>
  <c r="U300" i="24"/>
  <c r="U284" i="24"/>
  <c r="U268" i="24"/>
  <c r="V268" i="24" s="1"/>
  <c r="U252" i="24"/>
  <c r="V252" i="24" s="1"/>
  <c r="U236" i="24"/>
  <c r="V236" i="24" s="1"/>
  <c r="U220" i="24"/>
  <c r="V220" i="24" s="1"/>
  <c r="U314" i="24"/>
  <c r="U274" i="24"/>
  <c r="U234" i="24"/>
  <c r="V234" i="24" s="1"/>
  <c r="U303" i="24"/>
  <c r="V303" i="24" s="1"/>
  <c r="U287" i="24"/>
  <c r="V287" i="24" s="1"/>
  <c r="U271" i="24"/>
  <c r="V271" i="24" s="1"/>
  <c r="U255" i="24"/>
  <c r="U239" i="24"/>
  <c r="V239" i="24" s="1"/>
  <c r="U223" i="24"/>
  <c r="T119" i="25"/>
  <c r="T137" i="25"/>
  <c r="T193" i="25"/>
  <c r="T134" i="25"/>
  <c r="T247" i="25"/>
  <c r="T255" i="25"/>
  <c r="T237" i="25"/>
  <c r="T313" i="25"/>
  <c r="T296" i="25"/>
  <c r="BQ65" i="24"/>
  <c r="U65" i="24"/>
  <c r="V65" i="24" s="1"/>
  <c r="BQ17" i="24"/>
  <c r="U17" i="24"/>
  <c r="V17" i="24" s="1"/>
  <c r="BQ68" i="24"/>
  <c r="U68" i="24"/>
  <c r="BQ20" i="24"/>
  <c r="U20" i="24"/>
  <c r="BQ91" i="24"/>
  <c r="U91" i="24"/>
  <c r="BQ43" i="24"/>
  <c r="U43" i="24"/>
  <c r="BQ69" i="24"/>
  <c r="U69" i="24"/>
  <c r="V69" i="24" s="1"/>
  <c r="BQ66" i="24"/>
  <c r="U66" i="24"/>
  <c r="BQ50" i="24"/>
  <c r="U50" i="24"/>
  <c r="BQ18" i="24"/>
  <c r="U18" i="24"/>
  <c r="BQ97" i="24"/>
  <c r="U97" i="24"/>
  <c r="V97" i="24" s="1"/>
  <c r="BQ57" i="24"/>
  <c r="U57" i="24"/>
  <c r="BQ29" i="24"/>
  <c r="U29" i="24"/>
  <c r="BQ13" i="24"/>
  <c r="U13" i="24"/>
  <c r="BQ96" i="24"/>
  <c r="U96" i="24"/>
  <c r="BQ80" i="24"/>
  <c r="U80" i="24"/>
  <c r="V80" i="24" s="1"/>
  <c r="BQ64" i="24"/>
  <c r="U64" i="24"/>
  <c r="BQ48" i="24"/>
  <c r="U48" i="24"/>
  <c r="BQ32" i="24"/>
  <c r="U32" i="24"/>
  <c r="V32" i="24" s="1"/>
  <c r="BQ16" i="24"/>
  <c r="U16" i="24"/>
  <c r="BQ89" i="24"/>
  <c r="U89" i="24"/>
  <c r="V89" i="24" s="1"/>
  <c r="BQ103" i="24"/>
  <c r="U103" i="24"/>
  <c r="BQ87" i="24"/>
  <c r="U87" i="24"/>
  <c r="BQ71" i="24"/>
  <c r="U71" i="24"/>
  <c r="BQ55" i="24"/>
  <c r="U55" i="24"/>
  <c r="V55" i="24" s="1"/>
  <c r="BQ39" i="24"/>
  <c r="U39" i="24"/>
  <c r="BQ23" i="24"/>
  <c r="U23" i="24"/>
  <c r="BQ7" i="24"/>
  <c r="U7" i="24"/>
  <c r="BQ53" i="24"/>
  <c r="U53" i="24"/>
  <c r="BQ94" i="24"/>
  <c r="U94" i="24"/>
  <c r="BQ78" i="24"/>
  <c r="U78" i="24"/>
  <c r="BQ62" i="24"/>
  <c r="U62" i="24"/>
  <c r="BQ46" i="24"/>
  <c r="U46" i="24"/>
  <c r="BQ30" i="24"/>
  <c r="U30" i="24"/>
  <c r="BQ14" i="24"/>
  <c r="U14" i="24"/>
  <c r="BQ105" i="24"/>
  <c r="U105" i="24"/>
  <c r="BQ100" i="24"/>
  <c r="U100" i="24"/>
  <c r="BQ52" i="24"/>
  <c r="U52" i="24"/>
  <c r="BQ101" i="24"/>
  <c r="U101" i="24"/>
  <c r="V101" i="24" s="1"/>
  <c r="BQ59" i="24"/>
  <c r="U59" i="24"/>
  <c r="V59" i="24" s="1"/>
  <c r="BQ11" i="24"/>
  <c r="U11" i="24"/>
  <c r="V11" i="24" s="1"/>
  <c r="BQ82" i="24"/>
  <c r="U82" i="24"/>
  <c r="BQ34" i="24"/>
  <c r="U34" i="24"/>
  <c r="BQ85" i="24"/>
  <c r="U85" i="24"/>
  <c r="BQ49" i="24"/>
  <c r="U49" i="24"/>
  <c r="BQ25" i="24"/>
  <c r="U25" i="24"/>
  <c r="BQ9" i="24"/>
  <c r="U9" i="24"/>
  <c r="BQ92" i="24"/>
  <c r="U92" i="24"/>
  <c r="BQ76" i="24"/>
  <c r="U76" i="24"/>
  <c r="BQ60" i="24"/>
  <c r="U60" i="24"/>
  <c r="BQ44" i="24"/>
  <c r="U44" i="24"/>
  <c r="V44" i="24" s="1"/>
  <c r="BQ28" i="24"/>
  <c r="U28" i="24"/>
  <c r="BQ12" i="24"/>
  <c r="U12" i="24"/>
  <c r="BQ73" i="24"/>
  <c r="U73" i="24"/>
  <c r="BQ99" i="24"/>
  <c r="U99" i="24"/>
  <c r="BQ83" i="24"/>
  <c r="U83" i="24"/>
  <c r="BQ67" i="24"/>
  <c r="U67" i="24"/>
  <c r="BQ51" i="24"/>
  <c r="U51" i="24"/>
  <c r="V51" i="24" s="1"/>
  <c r="BQ35" i="24"/>
  <c r="U35" i="24"/>
  <c r="BQ19" i="24"/>
  <c r="U19" i="24"/>
  <c r="BQ93" i="24"/>
  <c r="U93" i="24"/>
  <c r="BQ41" i="24"/>
  <c r="U41" i="24"/>
  <c r="BQ90" i="24"/>
  <c r="U90" i="24"/>
  <c r="BQ74" i="24"/>
  <c r="U74" i="24"/>
  <c r="BQ58" i="24"/>
  <c r="U58" i="24"/>
  <c r="BQ42" i="24"/>
  <c r="U42" i="24"/>
  <c r="BQ26" i="24"/>
  <c r="U26" i="24"/>
  <c r="BQ10" i="24"/>
  <c r="U10" i="24"/>
  <c r="BQ33" i="24"/>
  <c r="U33" i="24"/>
  <c r="BQ84" i="24"/>
  <c r="U84" i="24"/>
  <c r="BQ36" i="24"/>
  <c r="U36" i="24"/>
  <c r="V36" i="24" s="1"/>
  <c r="BQ37" i="24"/>
  <c r="U37" i="24"/>
  <c r="BQ75" i="24"/>
  <c r="U75" i="24"/>
  <c r="BQ27" i="24"/>
  <c r="U27" i="24"/>
  <c r="BQ98" i="24"/>
  <c r="U98" i="24"/>
  <c r="V98" i="24" s="1"/>
  <c r="BQ77" i="24"/>
  <c r="U77" i="24"/>
  <c r="BQ45" i="24"/>
  <c r="U45" i="24"/>
  <c r="BQ21" i="24"/>
  <c r="U21" i="24"/>
  <c r="BQ104" i="24"/>
  <c r="U104" i="24"/>
  <c r="BQ88" i="24"/>
  <c r="U88" i="24"/>
  <c r="BQ72" i="24"/>
  <c r="U72" i="24"/>
  <c r="BQ56" i="24"/>
  <c r="U56" i="24"/>
  <c r="V56" i="24" s="1"/>
  <c r="BQ40" i="24"/>
  <c r="U40" i="24"/>
  <c r="BQ24" i="24"/>
  <c r="U24" i="24"/>
  <c r="BQ8" i="24"/>
  <c r="U8" i="24"/>
  <c r="BQ61" i="24"/>
  <c r="U61" i="24"/>
  <c r="BQ95" i="24"/>
  <c r="U95" i="24"/>
  <c r="BQ79" i="24"/>
  <c r="U79" i="24"/>
  <c r="BQ63" i="24"/>
  <c r="U63" i="24"/>
  <c r="BQ47" i="24"/>
  <c r="U47" i="24"/>
  <c r="BQ31" i="24"/>
  <c r="U31" i="24"/>
  <c r="BQ15" i="24"/>
  <c r="U15" i="24"/>
  <c r="BQ81" i="24"/>
  <c r="U81" i="24"/>
  <c r="BQ102" i="24"/>
  <c r="U102" i="24"/>
  <c r="V102" i="24" s="1"/>
  <c r="BQ86" i="24"/>
  <c r="U86" i="24"/>
  <c r="BQ70" i="24"/>
  <c r="U70" i="24"/>
  <c r="V70" i="24" s="1"/>
  <c r="BQ54" i="24"/>
  <c r="U54" i="24"/>
  <c r="BQ38" i="24"/>
  <c r="U38" i="24"/>
  <c r="BQ22" i="24"/>
  <c r="U22" i="24"/>
  <c r="V22" i="24" s="1"/>
  <c r="BQ6" i="24"/>
  <c r="U6" i="24"/>
  <c r="BP26" i="25"/>
  <c r="T26" i="25"/>
  <c r="BP36" i="25"/>
  <c r="T36" i="25"/>
  <c r="BP46" i="25"/>
  <c r="T46" i="25"/>
  <c r="BP41" i="25"/>
  <c r="T41" i="25"/>
  <c r="BP81" i="25"/>
  <c r="T81" i="25"/>
  <c r="BP16" i="25"/>
  <c r="T16" i="25"/>
  <c r="BP32" i="25"/>
  <c r="T32" i="25"/>
  <c r="BP52" i="25"/>
  <c r="T52" i="25"/>
  <c r="BP68" i="25"/>
  <c r="T68" i="25"/>
  <c r="BP84" i="25"/>
  <c r="T84" i="25"/>
  <c r="BP66" i="25"/>
  <c r="T66" i="25"/>
  <c r="BP82" i="25"/>
  <c r="T82" i="25"/>
  <c r="BP9" i="25"/>
  <c r="T9" i="25"/>
  <c r="BP17" i="25"/>
  <c r="T17" i="25"/>
  <c r="BP49" i="25"/>
  <c r="T49" i="25"/>
  <c r="BP73" i="25"/>
  <c r="T73" i="25"/>
  <c r="BP23" i="25"/>
  <c r="T23" i="25"/>
  <c r="BP43" i="25"/>
  <c r="T43" i="25"/>
  <c r="BP59" i="25"/>
  <c r="T59" i="25"/>
  <c r="BP75" i="25"/>
  <c r="T75" i="25"/>
  <c r="BP94" i="25"/>
  <c r="T94" i="25"/>
  <c r="BP98" i="25"/>
  <c r="T98" i="25"/>
  <c r="BP102" i="25"/>
  <c r="T102" i="25"/>
  <c r="BP14" i="25"/>
  <c r="T14" i="25"/>
  <c r="BP30" i="25"/>
  <c r="T30" i="25"/>
  <c r="BP37" i="25"/>
  <c r="T37" i="25"/>
  <c r="BP50" i="25"/>
  <c r="T50" i="25"/>
  <c r="BP45" i="25"/>
  <c r="T45" i="25"/>
  <c r="BP89" i="25"/>
  <c r="T89" i="25"/>
  <c r="BP20" i="25"/>
  <c r="T20" i="25"/>
  <c r="BP40" i="25"/>
  <c r="T40" i="25"/>
  <c r="BP56" i="25"/>
  <c r="T56" i="25"/>
  <c r="BP72" i="25"/>
  <c r="T72" i="25"/>
  <c r="BP88" i="25"/>
  <c r="T88" i="25"/>
  <c r="BP70" i="25"/>
  <c r="T70" i="25"/>
  <c r="BP86" i="25"/>
  <c r="T86" i="25"/>
  <c r="BP10" i="25"/>
  <c r="T10" i="25"/>
  <c r="BP25" i="25"/>
  <c r="T25" i="25"/>
  <c r="BP57" i="25"/>
  <c r="T57" i="25"/>
  <c r="BP77" i="25"/>
  <c r="T77" i="25"/>
  <c r="BP27" i="25"/>
  <c r="T27" i="25"/>
  <c r="BP47" i="25"/>
  <c r="T47" i="25"/>
  <c r="BP63" i="25"/>
  <c r="T63" i="25"/>
  <c r="BP79" i="25"/>
  <c r="T79" i="25"/>
  <c r="BP91" i="25"/>
  <c r="T91" i="25"/>
  <c r="BP95" i="25"/>
  <c r="T95" i="25"/>
  <c r="BP99" i="25"/>
  <c r="T99" i="25"/>
  <c r="BP103" i="25"/>
  <c r="T103" i="25"/>
  <c r="BP18" i="25"/>
  <c r="T18" i="25"/>
  <c r="BP38" i="25"/>
  <c r="T38" i="25"/>
  <c r="BP58" i="25"/>
  <c r="T58" i="25"/>
  <c r="BP53" i="25"/>
  <c r="T53" i="25"/>
  <c r="BP24" i="25"/>
  <c r="T24" i="25"/>
  <c r="BP60" i="25"/>
  <c r="T60" i="25"/>
  <c r="BP76" i="25"/>
  <c r="T76" i="25"/>
  <c r="BP54" i="25"/>
  <c r="T54" i="25"/>
  <c r="BP74" i="25"/>
  <c r="T74" i="25"/>
  <c r="BP90" i="25"/>
  <c r="T90" i="25"/>
  <c r="BP11" i="25"/>
  <c r="T11" i="25"/>
  <c r="BP29" i="25"/>
  <c r="T29" i="25"/>
  <c r="BP61" i="25"/>
  <c r="T61" i="25"/>
  <c r="BP15" i="25"/>
  <c r="T15" i="25"/>
  <c r="BP31" i="25"/>
  <c r="T31" i="25"/>
  <c r="BP51" i="25"/>
  <c r="T51" i="25"/>
  <c r="BP67" i="25"/>
  <c r="T67" i="25"/>
  <c r="BP83" i="25"/>
  <c r="T83" i="25"/>
  <c r="BP92" i="25"/>
  <c r="T92" i="25"/>
  <c r="BP96" i="25"/>
  <c r="T96" i="25"/>
  <c r="BP100" i="25"/>
  <c r="T100" i="25"/>
  <c r="BP104" i="25"/>
  <c r="T104" i="25"/>
  <c r="BP34" i="25"/>
  <c r="T34" i="25"/>
  <c r="BP44" i="25"/>
  <c r="T44" i="25"/>
  <c r="BP85" i="25"/>
  <c r="T85" i="25"/>
  <c r="BP22" i="25"/>
  <c r="T22" i="25"/>
  <c r="BP35" i="25"/>
  <c r="T35" i="25"/>
  <c r="BP42" i="25"/>
  <c r="T42" i="25"/>
  <c r="BP21" i="25"/>
  <c r="T21" i="25"/>
  <c r="BP69" i="25"/>
  <c r="T69" i="25"/>
  <c r="BP12" i="25"/>
  <c r="T12" i="25"/>
  <c r="BP28" i="25"/>
  <c r="T28" i="25"/>
  <c r="BP48" i="25"/>
  <c r="T48" i="25"/>
  <c r="BP64" i="25"/>
  <c r="T64" i="25"/>
  <c r="BP80" i="25"/>
  <c r="T80" i="25"/>
  <c r="BP62" i="25"/>
  <c r="T62" i="25"/>
  <c r="BP78" i="25"/>
  <c r="T78" i="25"/>
  <c r="BP8" i="25"/>
  <c r="T8" i="25"/>
  <c r="BP13" i="25"/>
  <c r="T13" i="25"/>
  <c r="BP33" i="25"/>
  <c r="T33" i="25"/>
  <c r="BP65" i="25"/>
  <c r="T65" i="25"/>
  <c r="BP19" i="25"/>
  <c r="T19" i="25"/>
  <c r="BP39" i="25"/>
  <c r="T39" i="25"/>
  <c r="BP55" i="25"/>
  <c r="T55" i="25"/>
  <c r="BP71" i="25"/>
  <c r="T71" i="25"/>
  <c r="BP87" i="25"/>
  <c r="T87" i="25"/>
  <c r="BP93" i="25"/>
  <c r="T93" i="25"/>
  <c r="BP97" i="25"/>
  <c r="T97" i="25"/>
  <c r="BP101" i="25"/>
  <c r="T101" i="25"/>
  <c r="BP105" i="25"/>
  <c r="T105" i="25"/>
  <c r="U195" i="24"/>
  <c r="U124" i="24"/>
  <c r="U168" i="24"/>
  <c r="V168" i="24" s="1"/>
  <c r="T116" i="25"/>
  <c r="T174" i="25"/>
  <c r="T201" i="25"/>
  <c r="O110" i="25"/>
  <c r="Q110" i="25" s="1"/>
  <c r="CE110" i="25" s="1"/>
  <c r="U121" i="24"/>
  <c r="V121" i="24" s="1"/>
  <c r="U151" i="24"/>
  <c r="V151" i="24" s="1"/>
  <c r="U130" i="24"/>
  <c r="V130" i="24" s="1"/>
  <c r="U180" i="24"/>
  <c r="U164" i="24"/>
  <c r="V164" i="24" s="1"/>
  <c r="T160" i="25"/>
  <c r="T130" i="25"/>
  <c r="T178" i="25"/>
  <c r="T159" i="25"/>
  <c r="U178" i="24"/>
  <c r="V178" i="24" s="1"/>
  <c r="U139" i="24"/>
  <c r="V139" i="24" s="1"/>
  <c r="U193" i="24"/>
  <c r="U160" i="24"/>
  <c r="T161" i="25"/>
  <c r="T185" i="25"/>
  <c r="T182" i="25"/>
  <c r="W44" i="2"/>
  <c r="D45" i="16" s="1"/>
  <c r="R10" i="25"/>
  <c r="R80" i="25"/>
  <c r="Q9" i="25"/>
  <c r="Q53" i="25"/>
  <c r="Q18" i="25"/>
  <c r="R146" i="25"/>
  <c r="Q57" i="25"/>
  <c r="R55" i="25"/>
  <c r="R113" i="25"/>
  <c r="Q94" i="25"/>
  <c r="R52" i="25"/>
  <c r="R93" i="25"/>
  <c r="Q12" i="25"/>
  <c r="Q118" i="25"/>
  <c r="R32" i="25"/>
  <c r="R59" i="25"/>
  <c r="R150" i="25"/>
  <c r="R104" i="25"/>
  <c r="Q111" i="25"/>
  <c r="Q89" i="25"/>
  <c r="Q165" i="25"/>
  <c r="R155" i="25"/>
  <c r="R65" i="25"/>
  <c r="Q13" i="25"/>
  <c r="R31" i="25"/>
  <c r="Q172" i="25"/>
  <c r="Q176" i="25"/>
  <c r="B25" i="2"/>
  <c r="Q66" i="25"/>
  <c r="R210" i="25"/>
  <c r="Q35" i="25"/>
  <c r="R69" i="25"/>
  <c r="R76" i="25"/>
  <c r="Q37" i="25"/>
  <c r="R51" i="25"/>
  <c r="R84" i="25"/>
  <c r="R105" i="25"/>
  <c r="Q120" i="25"/>
  <c r="Q99" i="25"/>
  <c r="Q29" i="25"/>
  <c r="Q98" i="25"/>
  <c r="R131" i="25"/>
  <c r="R54" i="25"/>
  <c r="Q137" i="25"/>
  <c r="Q34" i="25"/>
  <c r="R103" i="25"/>
  <c r="Q20" i="25"/>
  <c r="Q63" i="25"/>
  <c r="R33" i="25"/>
  <c r="R91" i="25"/>
  <c r="R119" i="25"/>
  <c r="R58" i="25"/>
  <c r="R6" i="25"/>
  <c r="R90" i="25"/>
  <c r="Q16" i="25"/>
  <c r="R41" i="25"/>
  <c r="Q81" i="25"/>
  <c r="R82" i="25"/>
  <c r="R44" i="25"/>
  <c r="R130" i="25"/>
  <c r="Q115" i="25"/>
  <c r="R209" i="25"/>
  <c r="Q50" i="25"/>
  <c r="Q64" i="25"/>
  <c r="R132" i="25"/>
  <c r="Q61" i="25"/>
  <c r="Q157" i="25"/>
  <c r="Q122" i="25"/>
  <c r="R127" i="25"/>
  <c r="Q182" i="25"/>
  <c r="R152" i="25"/>
  <c r="Q126" i="25"/>
  <c r="R144" i="25"/>
  <c r="R128" i="25"/>
  <c r="Q139" i="25"/>
  <c r="R161" i="25"/>
  <c r="Q133" i="25"/>
  <c r="Q158" i="25"/>
  <c r="Q167" i="25"/>
  <c r="R206" i="25"/>
  <c r="Q177" i="25"/>
  <c r="Q198" i="25"/>
  <c r="R185" i="25"/>
  <c r="R129" i="25"/>
  <c r="Q123" i="25"/>
  <c r="R123" i="25"/>
  <c r="R169" i="25"/>
  <c r="Q175" i="25"/>
  <c r="R124" i="25"/>
  <c r="Q204" i="25"/>
  <c r="R200" i="25"/>
  <c r="R162" i="25"/>
  <c r="R134" i="25"/>
  <c r="Q171" i="25"/>
  <c r="R148" i="25"/>
  <c r="R72" i="25"/>
  <c r="Q170" i="25"/>
  <c r="R142" i="25"/>
  <c r="Q71" i="25"/>
  <c r="R114" i="25"/>
  <c r="R203" i="25"/>
  <c r="Q62" i="25"/>
  <c r="Q159" i="25"/>
  <c r="R85" i="25"/>
  <c r="R87" i="25"/>
  <c r="Q156" i="25"/>
  <c r="R178" i="25"/>
  <c r="R163" i="25"/>
  <c r="Q192" i="25"/>
  <c r="R36" i="25"/>
  <c r="R100" i="25"/>
  <c r="R96" i="25"/>
  <c r="R183" i="25"/>
  <c r="R8" i="25"/>
  <c r="R38" i="25"/>
  <c r="Q7" i="25"/>
  <c r="R208" i="25"/>
  <c r="Q46" i="25"/>
  <c r="Q140" i="25"/>
  <c r="Q141" i="25"/>
  <c r="R207" i="25"/>
  <c r="R168" i="25"/>
  <c r="Q17" i="25"/>
  <c r="R153" i="25"/>
  <c r="Q39" i="25"/>
  <c r="Q73" i="25"/>
  <c r="R116" i="25"/>
  <c r="R86" i="25"/>
  <c r="R125" i="25"/>
  <c r="Q189" i="25"/>
  <c r="R75" i="25"/>
  <c r="R166" i="25"/>
  <c r="R188" i="25"/>
  <c r="R196" i="25"/>
  <c r="R22" i="25"/>
  <c r="R47" i="25"/>
  <c r="R70" i="25"/>
  <c r="R14" i="25"/>
  <c r="Q42" i="25"/>
  <c r="R143" i="25"/>
  <c r="R197" i="25"/>
  <c r="R195" i="25"/>
  <c r="R187" i="25"/>
  <c r="Q30" i="25"/>
  <c r="Q67" i="25"/>
  <c r="Q160" i="25"/>
  <c r="R74" i="25"/>
  <c r="R56" i="25"/>
  <c r="R83" i="25"/>
  <c r="Q101" i="25"/>
  <c r="Q79" i="25"/>
  <c r="Q194" i="25"/>
  <c r="R43" i="25"/>
  <c r="Q138" i="25"/>
  <c r="Q49" i="25"/>
  <c r="Q68" i="25"/>
  <c r="R45" i="25"/>
  <c r="R88" i="25"/>
  <c r="Q25" i="25"/>
  <c r="Q136" i="25"/>
  <c r="R190" i="25"/>
  <c r="R26" i="25"/>
  <c r="Q151" i="25"/>
  <c r="R179" i="25"/>
  <c r="Q24" i="25"/>
  <c r="Q173" i="25"/>
  <c r="Q112" i="25"/>
  <c r="Q48" i="25"/>
  <c r="Q147" i="25"/>
  <c r="R121" i="25"/>
  <c r="Q202" i="25"/>
  <c r="R40" i="25"/>
  <c r="Q191" i="25"/>
  <c r="Q149" i="25"/>
  <c r="R193" i="25"/>
  <c r="Q201" i="25"/>
  <c r="R205" i="25"/>
  <c r="R174" i="25"/>
  <c r="R181" i="25"/>
  <c r="R21" i="25"/>
  <c r="R15" i="25"/>
  <c r="Q60" i="25"/>
  <c r="Q180" i="25"/>
  <c r="R23" i="25"/>
  <c r="R164" i="25"/>
  <c r="R78" i="25"/>
  <c r="Q27" i="25"/>
  <c r="R117" i="25"/>
  <c r="R77" i="25"/>
  <c r="Q102" i="25"/>
  <c r="R92" i="25"/>
  <c r="Q199" i="25"/>
  <c r="R28" i="25"/>
  <c r="R184" i="25"/>
  <c r="R11" i="25"/>
  <c r="Q95" i="25"/>
  <c r="Q145" i="25"/>
  <c r="Q19" i="25"/>
  <c r="R97" i="25"/>
  <c r="Q135" i="25"/>
  <c r="R154" i="25"/>
  <c r="R186" i="25"/>
  <c r="P9" i="25"/>
  <c r="P13" i="25"/>
  <c r="P17" i="25"/>
  <c r="P21" i="25"/>
  <c r="P25" i="25"/>
  <c r="P29" i="25"/>
  <c r="P33" i="25"/>
  <c r="P37" i="25"/>
  <c r="P41" i="25"/>
  <c r="P45" i="25"/>
  <c r="P49" i="25"/>
  <c r="P53" i="25"/>
  <c r="P57" i="25"/>
  <c r="P61" i="25"/>
  <c r="P65" i="25"/>
  <c r="P69" i="25"/>
  <c r="P73" i="25"/>
  <c r="P77" i="25"/>
  <c r="P81" i="25"/>
  <c r="P85" i="25"/>
  <c r="P89" i="25"/>
  <c r="P93" i="25"/>
  <c r="P97" i="25"/>
  <c r="P101" i="25"/>
  <c r="P105" i="25"/>
  <c r="P113" i="25"/>
  <c r="P117" i="25"/>
  <c r="P121" i="25"/>
  <c r="P125" i="25"/>
  <c r="P129" i="25"/>
  <c r="P133" i="25"/>
  <c r="P137" i="25"/>
  <c r="P141" i="25"/>
  <c r="P145" i="25"/>
  <c r="P149" i="25"/>
  <c r="P153" i="25"/>
  <c r="P157" i="25"/>
  <c r="P161" i="25"/>
  <c r="P165" i="25"/>
  <c r="P169" i="25"/>
  <c r="P173" i="25"/>
  <c r="P177" i="25"/>
  <c r="P181" i="25"/>
  <c r="P185" i="25"/>
  <c r="P189" i="25"/>
  <c r="P193" i="25"/>
  <c r="P197" i="25"/>
  <c r="P201" i="25"/>
  <c r="P205" i="25"/>
  <c r="P209" i="25"/>
  <c r="P6" i="25"/>
  <c r="P10" i="25"/>
  <c r="P14" i="25"/>
  <c r="P18" i="25"/>
  <c r="P22" i="25"/>
  <c r="P26" i="25"/>
  <c r="P30" i="25"/>
  <c r="P34" i="25"/>
  <c r="P38" i="25"/>
  <c r="P42" i="25"/>
  <c r="P46" i="25"/>
  <c r="P50" i="25"/>
  <c r="P54" i="25"/>
  <c r="P58" i="25"/>
  <c r="P62" i="25"/>
  <c r="P66" i="25"/>
  <c r="P70" i="25"/>
  <c r="P74" i="25"/>
  <c r="P78" i="25"/>
  <c r="P82" i="25"/>
  <c r="P86" i="25"/>
  <c r="P90" i="25"/>
  <c r="P94" i="25"/>
  <c r="P98" i="25"/>
  <c r="P102" i="25"/>
  <c r="P110" i="25"/>
  <c r="P114" i="25"/>
  <c r="P118" i="25"/>
  <c r="P122" i="25"/>
  <c r="P126" i="25"/>
  <c r="P130" i="25"/>
  <c r="P134" i="25"/>
  <c r="P138" i="25"/>
  <c r="P142" i="25"/>
  <c r="P146" i="25"/>
  <c r="P150" i="25"/>
  <c r="P154" i="25"/>
  <c r="P158" i="25"/>
  <c r="P162" i="25"/>
  <c r="P166" i="25"/>
  <c r="P170" i="25"/>
  <c r="P174" i="25"/>
  <c r="P178" i="25"/>
  <c r="P7" i="25"/>
  <c r="P11" i="25"/>
  <c r="P15" i="25"/>
  <c r="P19" i="25"/>
  <c r="P23" i="25"/>
  <c r="P27" i="25"/>
  <c r="P31" i="25"/>
  <c r="P35" i="25"/>
  <c r="P39" i="25"/>
  <c r="P43" i="25"/>
  <c r="P47" i="25"/>
  <c r="P51" i="25"/>
  <c r="P55" i="25"/>
  <c r="P59" i="25"/>
  <c r="P63" i="25"/>
  <c r="P67" i="25"/>
  <c r="P71" i="25"/>
  <c r="P75" i="25"/>
  <c r="P79" i="25"/>
  <c r="P83" i="25"/>
  <c r="P87" i="25"/>
  <c r="P91" i="25"/>
  <c r="P95" i="25"/>
  <c r="P99" i="25"/>
  <c r="P103" i="25"/>
  <c r="P111" i="25"/>
  <c r="P115" i="25"/>
  <c r="P119" i="25"/>
  <c r="P123" i="25"/>
  <c r="P127" i="25"/>
  <c r="P131" i="25"/>
  <c r="P135" i="25"/>
  <c r="P139" i="25"/>
  <c r="P143" i="25"/>
  <c r="P147" i="25"/>
  <c r="P151" i="25"/>
  <c r="P155" i="25"/>
  <c r="P159" i="25"/>
  <c r="P163" i="25"/>
  <c r="P167" i="25"/>
  <c r="P171" i="25"/>
  <c r="P175" i="25"/>
  <c r="P179" i="25"/>
  <c r="P183" i="25"/>
  <c r="P187" i="25"/>
  <c r="P191" i="25"/>
  <c r="P195" i="25"/>
  <c r="P199" i="25"/>
  <c r="P203" i="25"/>
  <c r="P207" i="25"/>
  <c r="P216" i="25"/>
  <c r="P220" i="25"/>
  <c r="P224" i="25"/>
  <c r="P228" i="25"/>
  <c r="P232" i="25"/>
  <c r="P236" i="25"/>
  <c r="P240" i="25"/>
  <c r="P244" i="25"/>
  <c r="P248" i="25"/>
  <c r="P252" i="25"/>
  <c r="P20" i="25"/>
  <c r="P36" i="25"/>
  <c r="P52" i="25"/>
  <c r="P68" i="25"/>
  <c r="P84" i="25"/>
  <c r="P100" i="25"/>
  <c r="P120" i="25"/>
  <c r="P136" i="25"/>
  <c r="P152" i="25"/>
  <c r="P168" i="25"/>
  <c r="P182" i="25"/>
  <c r="P190" i="25"/>
  <c r="P198" i="25"/>
  <c r="P206" i="25"/>
  <c r="P218" i="25"/>
  <c r="P223" i="25"/>
  <c r="P229" i="25"/>
  <c r="P234" i="25"/>
  <c r="P239" i="25"/>
  <c r="P245" i="25"/>
  <c r="P250" i="25"/>
  <c r="P255" i="25"/>
  <c r="P259" i="25"/>
  <c r="P263" i="25"/>
  <c r="P267" i="25"/>
  <c r="P271" i="25"/>
  <c r="P275" i="25"/>
  <c r="P279" i="25"/>
  <c r="P283" i="25"/>
  <c r="P287" i="25"/>
  <c r="P291" i="25"/>
  <c r="P295" i="25"/>
  <c r="P299" i="25"/>
  <c r="P303" i="25"/>
  <c r="P307" i="25"/>
  <c r="P311" i="25"/>
  <c r="P315" i="25"/>
  <c r="P8" i="25"/>
  <c r="P56" i="25"/>
  <c r="P88" i="25"/>
  <c r="P140" i="25"/>
  <c r="P184" i="25"/>
  <c r="P208" i="25"/>
  <c r="P225" i="25"/>
  <c r="P246" i="25"/>
  <c r="P260" i="25"/>
  <c r="P268" i="25"/>
  <c r="P280" i="25"/>
  <c r="P292" i="25"/>
  <c r="P304" i="25"/>
  <c r="P316" i="25"/>
  <c r="P12" i="25"/>
  <c r="P28" i="25"/>
  <c r="P44" i="25"/>
  <c r="P60" i="25"/>
  <c r="P76" i="25"/>
  <c r="P92" i="25"/>
  <c r="P112" i="25"/>
  <c r="P128" i="25"/>
  <c r="P144" i="25"/>
  <c r="P160" i="25"/>
  <c r="P176" i="25"/>
  <c r="P186" i="25"/>
  <c r="P194" i="25"/>
  <c r="P202" i="25"/>
  <c r="P210" i="25"/>
  <c r="P221" i="25"/>
  <c r="P226" i="25"/>
  <c r="P231" i="25"/>
  <c r="P237" i="25"/>
  <c r="P242" i="25"/>
  <c r="P247" i="25"/>
  <c r="P253" i="25"/>
  <c r="P257" i="25"/>
  <c r="P261" i="25"/>
  <c r="P265" i="25"/>
  <c r="P269" i="25"/>
  <c r="P273" i="25"/>
  <c r="P277" i="25"/>
  <c r="P281" i="25"/>
  <c r="P285" i="25"/>
  <c r="P289" i="25"/>
  <c r="P293" i="25"/>
  <c r="P297" i="25"/>
  <c r="P301" i="25"/>
  <c r="P305" i="25"/>
  <c r="P309" i="25"/>
  <c r="P313" i="25"/>
  <c r="P5" i="25"/>
  <c r="P302" i="25"/>
  <c r="P24" i="25"/>
  <c r="P72" i="25"/>
  <c r="P124" i="25"/>
  <c r="P156" i="25"/>
  <c r="P192" i="25"/>
  <c r="P219" i="25"/>
  <c r="P230" i="25"/>
  <c r="P241" i="25"/>
  <c r="P256" i="25"/>
  <c r="P264" i="25"/>
  <c r="P276" i="25"/>
  <c r="P284" i="25"/>
  <c r="P296" i="25"/>
  <c r="P308" i="25"/>
  <c r="P312" i="25"/>
  <c r="P16" i="25"/>
  <c r="P32" i="25"/>
  <c r="P48" i="25"/>
  <c r="P64" i="25"/>
  <c r="P80" i="25"/>
  <c r="P96" i="25"/>
  <c r="P116" i="25"/>
  <c r="P132" i="25"/>
  <c r="P148" i="25"/>
  <c r="P164" i="25"/>
  <c r="P180" i="25"/>
  <c r="P188" i="25"/>
  <c r="P196" i="25"/>
  <c r="P204" i="25"/>
  <c r="P217" i="25"/>
  <c r="P222" i="25"/>
  <c r="P227" i="25"/>
  <c r="P233" i="25"/>
  <c r="P238" i="25"/>
  <c r="P243" i="25"/>
  <c r="P249" i="25"/>
  <c r="P254" i="25"/>
  <c r="P258" i="25"/>
  <c r="P262" i="25"/>
  <c r="P266" i="25"/>
  <c r="P270" i="25"/>
  <c r="P274" i="25"/>
  <c r="P278" i="25"/>
  <c r="P282" i="25"/>
  <c r="P286" i="25"/>
  <c r="P290" i="25"/>
  <c r="P294" i="25"/>
  <c r="P298" i="25"/>
  <c r="P306" i="25"/>
  <c r="P310" i="25"/>
  <c r="P314" i="25"/>
  <c r="P40" i="25"/>
  <c r="P104" i="25"/>
  <c r="P172" i="25"/>
  <c r="P200" i="25"/>
  <c r="P235" i="25"/>
  <c r="P251" i="25"/>
  <c r="P272" i="25"/>
  <c r="P288" i="25"/>
  <c r="P300" i="25"/>
  <c r="O5" i="25"/>
  <c r="CB18" i="25"/>
  <c r="CB38" i="25"/>
  <c r="CB58" i="25"/>
  <c r="CB53" i="25"/>
  <c r="CB24" i="25"/>
  <c r="CB60" i="25"/>
  <c r="CB76" i="25"/>
  <c r="CB74" i="25"/>
  <c r="CB90" i="25"/>
  <c r="CB11" i="25"/>
  <c r="CB61" i="25"/>
  <c r="CB85" i="25"/>
  <c r="CB31" i="25"/>
  <c r="CB67" i="25"/>
  <c r="CB83" i="25"/>
  <c r="CB92" i="25"/>
  <c r="CB100" i="25"/>
  <c r="CB22" i="25"/>
  <c r="CB42" i="25"/>
  <c r="CB69" i="25"/>
  <c r="CB28" i="25"/>
  <c r="CB64" i="25"/>
  <c r="CB13" i="25"/>
  <c r="CB33" i="25"/>
  <c r="CB65" i="25"/>
  <c r="CB19" i="25"/>
  <c r="CB55" i="25"/>
  <c r="CB71" i="25"/>
  <c r="CB87" i="25"/>
  <c r="CB97" i="25"/>
  <c r="CB105" i="25"/>
  <c r="CB26" i="25"/>
  <c r="CB36" i="25"/>
  <c r="CB46" i="25"/>
  <c r="CB41" i="25"/>
  <c r="CB81" i="25"/>
  <c r="CB16" i="25"/>
  <c r="CB32" i="25"/>
  <c r="CB52" i="25"/>
  <c r="CB68" i="25"/>
  <c r="CB84" i="25"/>
  <c r="CB66" i="25"/>
  <c r="CB82" i="25"/>
  <c r="CB9" i="25"/>
  <c r="CB17" i="25"/>
  <c r="CB49" i="25"/>
  <c r="CB73" i="25"/>
  <c r="CB23" i="25"/>
  <c r="CB43" i="25"/>
  <c r="CB59" i="25"/>
  <c r="CB75" i="25"/>
  <c r="CB94" i="25"/>
  <c r="CB98" i="25"/>
  <c r="CB102" i="25"/>
  <c r="CB34" i="25"/>
  <c r="CB44" i="25"/>
  <c r="CB54" i="25"/>
  <c r="CB29" i="25"/>
  <c r="CB15" i="25"/>
  <c r="CB51" i="25"/>
  <c r="CB96" i="25"/>
  <c r="CB104" i="25"/>
  <c r="CB35" i="25"/>
  <c r="CB21" i="25"/>
  <c r="CB12" i="25"/>
  <c r="CB48" i="25"/>
  <c r="CB80" i="25"/>
  <c r="CB62" i="25"/>
  <c r="CB78" i="25"/>
  <c r="CB8" i="25"/>
  <c r="CB39" i="25"/>
  <c r="CB93" i="25"/>
  <c r="CB101" i="25"/>
  <c r="CB14" i="25"/>
  <c r="CB30" i="25"/>
  <c r="CB37" i="25"/>
  <c r="CB50" i="25"/>
  <c r="CB45" i="25"/>
  <c r="CB89" i="25"/>
  <c r="CB20" i="25"/>
  <c r="CB40" i="25"/>
  <c r="CB56" i="25"/>
  <c r="CB72" i="25"/>
  <c r="CB88" i="25"/>
  <c r="CB70" i="25"/>
  <c r="CB86" i="25"/>
  <c r="CB10" i="25"/>
  <c r="CB25" i="25"/>
  <c r="CB57" i="25"/>
  <c r="CB77" i="25"/>
  <c r="CB27" i="25"/>
  <c r="CB47" i="25"/>
  <c r="CB63" i="25"/>
  <c r="CB79" i="25"/>
  <c r="CB91" i="25"/>
  <c r="CB95" i="25"/>
  <c r="CB99" i="25"/>
  <c r="CB103" i="25"/>
  <c r="AY7" i="19"/>
  <c r="BD7" i="19" s="1"/>
  <c r="BN7" i="19"/>
  <c r="AY8" i="19"/>
  <c r="BC8" i="19" s="1"/>
  <c r="BN8" i="19"/>
  <c r="AY6" i="19"/>
  <c r="BJ6" i="19" s="1"/>
  <c r="BN6" i="19"/>
  <c r="AY9" i="19"/>
  <c r="BN9" i="19"/>
  <c r="BC7" i="19"/>
  <c r="R313" i="25"/>
  <c r="Q313" i="25"/>
  <c r="R256" i="25"/>
  <c r="Q256" i="25"/>
  <c r="R291" i="25"/>
  <c r="Q291" i="25"/>
  <c r="R259" i="25"/>
  <c r="Q259" i="25"/>
  <c r="R218" i="25"/>
  <c r="Q218" i="25"/>
  <c r="R226" i="25"/>
  <c r="Q226" i="25"/>
  <c r="R309" i="25"/>
  <c r="Q309" i="25"/>
  <c r="R277" i="25"/>
  <c r="Q277" i="25"/>
  <c r="R287" i="25"/>
  <c r="Q287" i="25"/>
  <c r="R255" i="25"/>
  <c r="Q255" i="25"/>
  <c r="R223" i="25"/>
  <c r="Q223" i="25"/>
  <c r="R296" i="25"/>
  <c r="Q296" i="25"/>
  <c r="R267" i="25"/>
  <c r="Q267" i="25"/>
  <c r="R235" i="25"/>
  <c r="Q235" i="25"/>
  <c r="R285" i="25"/>
  <c r="Q285" i="25"/>
  <c r="R221" i="25"/>
  <c r="Q221" i="25"/>
  <c r="R231" i="25"/>
  <c r="Q231" i="25"/>
  <c r="R281" i="25"/>
  <c r="Q281" i="25"/>
  <c r="R249" i="25"/>
  <c r="Q249" i="25"/>
  <c r="R217" i="25"/>
  <c r="Q217" i="25"/>
  <c r="R288" i="25"/>
  <c r="Q288" i="25"/>
  <c r="R224" i="25"/>
  <c r="Q224" i="25"/>
  <c r="R227" i="25"/>
  <c r="Q227" i="25"/>
  <c r="R298" i="25"/>
  <c r="Q298" i="25"/>
  <c r="R245" i="25"/>
  <c r="Q245" i="25"/>
  <c r="R316" i="25"/>
  <c r="Q316" i="25"/>
  <c r="R284" i="25"/>
  <c r="Q284" i="25"/>
  <c r="R252" i="25"/>
  <c r="Q252" i="25"/>
  <c r="R220" i="25"/>
  <c r="Q220" i="25"/>
  <c r="R294" i="25"/>
  <c r="Q294" i="25"/>
  <c r="R278" i="25"/>
  <c r="Q278" i="25"/>
  <c r="R270" i="25"/>
  <c r="Q270" i="25"/>
  <c r="R289" i="25"/>
  <c r="Q289" i="25"/>
  <c r="R257" i="25"/>
  <c r="Q257" i="25"/>
  <c r="R225" i="25"/>
  <c r="Q225" i="25"/>
  <c r="R264" i="25"/>
  <c r="Q264" i="25"/>
  <c r="R232" i="25"/>
  <c r="Q232" i="25"/>
  <c r="R299" i="25"/>
  <c r="Q299" i="25"/>
  <c r="R306" i="25"/>
  <c r="Q306" i="25"/>
  <c r="R250" i="25"/>
  <c r="Q250" i="25"/>
  <c r="R258" i="25"/>
  <c r="Q258" i="25"/>
  <c r="R301" i="25"/>
  <c r="Q301" i="25"/>
  <c r="R269" i="25"/>
  <c r="Q269" i="25"/>
  <c r="R237" i="25"/>
  <c r="Q237" i="25"/>
  <c r="R244" i="25"/>
  <c r="Q244" i="25"/>
  <c r="R279" i="25"/>
  <c r="Q279" i="25"/>
  <c r="R247" i="25"/>
  <c r="Q247" i="25"/>
  <c r="R302" i="25"/>
  <c r="Q302" i="25"/>
  <c r="R234" i="25"/>
  <c r="Q234" i="25"/>
  <c r="R242" i="25"/>
  <c r="Q242" i="25"/>
  <c r="R304" i="25"/>
  <c r="Q304" i="25"/>
  <c r="R240" i="25"/>
  <c r="Q240" i="25"/>
  <c r="R243" i="25"/>
  <c r="Q243" i="25"/>
  <c r="R230" i="25"/>
  <c r="Q230" i="25"/>
  <c r="R222" i="25"/>
  <c r="Q222" i="25"/>
  <c r="R300" i="25"/>
  <c r="Q300" i="25"/>
  <c r="R303" i="25"/>
  <c r="Q303" i="25"/>
  <c r="R271" i="25"/>
  <c r="Q271" i="25"/>
  <c r="R239" i="25"/>
  <c r="Q239" i="25"/>
  <c r="R310" i="25"/>
  <c r="Q310" i="25"/>
  <c r="R274" i="25"/>
  <c r="Q274" i="25"/>
  <c r="R305" i="25"/>
  <c r="Q305" i="25"/>
  <c r="R251" i="25"/>
  <c r="Q251" i="25"/>
  <c r="R219" i="25"/>
  <c r="Q219" i="25"/>
  <c r="R308" i="25"/>
  <c r="Q308" i="25"/>
  <c r="R276" i="25"/>
  <c r="Q276" i="25"/>
  <c r="R311" i="25"/>
  <c r="Q311" i="25"/>
  <c r="R297" i="25"/>
  <c r="Q297" i="25"/>
  <c r="R265" i="25"/>
  <c r="Q265" i="25"/>
  <c r="R233" i="25"/>
  <c r="Q233" i="25"/>
  <c r="R272" i="25"/>
  <c r="Q272" i="25"/>
  <c r="R307" i="25"/>
  <c r="Q307" i="25"/>
  <c r="R275" i="25"/>
  <c r="Q275" i="25"/>
  <c r="R314" i="25"/>
  <c r="Q314" i="25"/>
  <c r="R282" i="25"/>
  <c r="Q282" i="25"/>
  <c r="R293" i="25"/>
  <c r="Q293" i="25"/>
  <c r="R261" i="25"/>
  <c r="Q261" i="25"/>
  <c r="R229" i="25"/>
  <c r="Q229" i="25"/>
  <c r="R268" i="25"/>
  <c r="Q268" i="25"/>
  <c r="R236" i="25"/>
  <c r="Q236" i="25"/>
  <c r="R266" i="25"/>
  <c r="Q266" i="25"/>
  <c r="R273" i="25"/>
  <c r="Q273" i="25"/>
  <c r="R241" i="25"/>
  <c r="Q241" i="25"/>
  <c r="R312" i="25"/>
  <c r="Q312" i="25"/>
  <c r="R280" i="25"/>
  <c r="Q280" i="25"/>
  <c r="R248" i="25"/>
  <c r="Q248" i="25"/>
  <c r="R315" i="25"/>
  <c r="Q315" i="25"/>
  <c r="R283" i="25"/>
  <c r="Q283" i="25"/>
  <c r="R290" i="25"/>
  <c r="Q290" i="25"/>
  <c r="R262" i="25"/>
  <c r="Q262" i="25"/>
  <c r="R254" i="25"/>
  <c r="Q254" i="25"/>
  <c r="R253" i="25"/>
  <c r="Q253" i="25"/>
  <c r="R292" i="25"/>
  <c r="Q292" i="25"/>
  <c r="R260" i="25"/>
  <c r="Q260" i="25"/>
  <c r="R228" i="25"/>
  <c r="Q228" i="25"/>
  <c r="R295" i="25"/>
  <c r="Q295" i="25"/>
  <c r="R263" i="25"/>
  <c r="Q263" i="25"/>
  <c r="R286" i="25"/>
  <c r="Q286" i="25"/>
  <c r="R246" i="25"/>
  <c r="Q246" i="25"/>
  <c r="R238" i="25"/>
  <c r="Q238" i="25"/>
  <c r="AL34" i="25"/>
  <c r="H34" i="25"/>
  <c r="AH34" i="25" s="1"/>
  <c r="S34" i="25"/>
  <c r="K34" i="25" s="1"/>
  <c r="AL58" i="25"/>
  <c r="H58" i="25"/>
  <c r="AH58" i="25" s="1"/>
  <c r="S58" i="25"/>
  <c r="K58" i="25" s="1"/>
  <c r="H121" i="25"/>
  <c r="AH121" i="25" s="1"/>
  <c r="AL121" i="25"/>
  <c r="S121" i="25"/>
  <c r="K121" i="25" s="1"/>
  <c r="AL44" i="25"/>
  <c r="H44" i="25"/>
  <c r="AH44" i="25" s="1"/>
  <c r="S44" i="25"/>
  <c r="K44" i="25" s="1"/>
  <c r="AL76" i="25"/>
  <c r="H76" i="25"/>
  <c r="AH76" i="25" s="1"/>
  <c r="S76" i="25"/>
  <c r="K76" i="25" s="1"/>
  <c r="AL74" i="25"/>
  <c r="H74" i="25"/>
  <c r="AH74" i="25" s="1"/>
  <c r="S74" i="25"/>
  <c r="K74" i="25" s="1"/>
  <c r="AL124" i="25"/>
  <c r="H124" i="25"/>
  <c r="AH124" i="25" s="1"/>
  <c r="S124" i="25"/>
  <c r="K124" i="25" s="1"/>
  <c r="AL17" i="25"/>
  <c r="H17" i="25"/>
  <c r="AH17" i="25" s="1"/>
  <c r="S17" i="25"/>
  <c r="K17" i="25" s="1"/>
  <c r="AL73" i="25"/>
  <c r="H73" i="25"/>
  <c r="AH73" i="25" s="1"/>
  <c r="S73" i="25"/>
  <c r="K73" i="25" s="1"/>
  <c r="AL23" i="25"/>
  <c r="H23" i="25"/>
  <c r="AH23" i="25" s="1"/>
  <c r="S23" i="25"/>
  <c r="K23" i="25" s="1"/>
  <c r="AL43" i="25"/>
  <c r="H43" i="25"/>
  <c r="AH43" i="25" s="1"/>
  <c r="S43" i="25"/>
  <c r="K43" i="25" s="1"/>
  <c r="AL75" i="25"/>
  <c r="H75" i="25"/>
  <c r="AH75" i="25" s="1"/>
  <c r="S75" i="25"/>
  <c r="K75" i="25" s="1"/>
  <c r="H223" i="25"/>
  <c r="AH223" i="25" s="1"/>
  <c r="AL223" i="25"/>
  <c r="S223" i="25"/>
  <c r="K223" i="25" s="1"/>
  <c r="H290" i="25"/>
  <c r="AH290" i="25" s="1"/>
  <c r="AL290" i="25"/>
  <c r="S290" i="25"/>
  <c r="K290" i="25" s="1"/>
  <c r="AL98" i="25"/>
  <c r="H98" i="25"/>
  <c r="AH98" i="25" s="1"/>
  <c r="S98" i="25"/>
  <c r="K98" i="25" s="1"/>
  <c r="AL111" i="25"/>
  <c r="H111" i="25"/>
  <c r="AH111" i="25" s="1"/>
  <c r="S111" i="25"/>
  <c r="K111" i="25" s="1"/>
  <c r="H133" i="25"/>
  <c r="AH133" i="25" s="1"/>
  <c r="AL133" i="25"/>
  <c r="S133" i="25"/>
  <c r="K133" i="25" s="1"/>
  <c r="H141" i="25"/>
  <c r="AH141" i="25" s="1"/>
  <c r="AL141" i="25"/>
  <c r="S141" i="25"/>
  <c r="K141" i="25" s="1"/>
  <c r="H157" i="25"/>
  <c r="AH157" i="25" s="1"/>
  <c r="AL157" i="25"/>
  <c r="S157" i="25"/>
  <c r="K157" i="25" s="1"/>
  <c r="H173" i="25"/>
  <c r="AH173" i="25" s="1"/>
  <c r="AL173" i="25"/>
  <c r="S173" i="25"/>
  <c r="K173" i="25" s="1"/>
  <c r="H197" i="25"/>
  <c r="AH197" i="25" s="1"/>
  <c r="AL197" i="25"/>
  <c r="S197" i="25"/>
  <c r="K197" i="25" s="1"/>
  <c r="H158" i="25"/>
  <c r="AH158" i="25" s="1"/>
  <c r="AL158" i="25"/>
  <c r="S158" i="25"/>
  <c r="K158" i="25" s="1"/>
  <c r="H190" i="25"/>
  <c r="AH190" i="25" s="1"/>
  <c r="AL190" i="25"/>
  <c r="S190" i="25"/>
  <c r="K190" i="25" s="1"/>
  <c r="H235" i="25"/>
  <c r="AH235" i="25" s="1"/>
  <c r="AL235" i="25"/>
  <c r="S235" i="25"/>
  <c r="K235" i="25" s="1"/>
  <c r="H251" i="25"/>
  <c r="AH251" i="25" s="1"/>
  <c r="AL251" i="25"/>
  <c r="S251" i="25"/>
  <c r="K251" i="25" s="1"/>
  <c r="H267" i="25"/>
  <c r="AH267" i="25" s="1"/>
  <c r="AL267" i="25"/>
  <c r="S267" i="25"/>
  <c r="K267" i="25" s="1"/>
  <c r="AL155" i="25"/>
  <c r="H155" i="25"/>
  <c r="AH155" i="25" s="1"/>
  <c r="S155" i="25"/>
  <c r="K155" i="25" s="1"/>
  <c r="AL187" i="25"/>
  <c r="H187" i="25"/>
  <c r="AH187" i="25" s="1"/>
  <c r="S187" i="25"/>
  <c r="K187" i="25" s="1"/>
  <c r="AL201" i="25"/>
  <c r="H201" i="25"/>
  <c r="AH201" i="25" s="1"/>
  <c r="S201" i="25"/>
  <c r="K201" i="25" s="1"/>
  <c r="AL316" i="25"/>
  <c r="H316" i="25"/>
  <c r="AH316" i="25" s="1"/>
  <c r="S316" i="25"/>
  <c r="K316" i="25" s="1"/>
  <c r="AL14" i="25"/>
  <c r="H14" i="25"/>
  <c r="AH14" i="25" s="1"/>
  <c r="S14" i="25"/>
  <c r="K14" i="25" s="1"/>
  <c r="AL30" i="25"/>
  <c r="H30" i="25"/>
  <c r="AH30" i="25" s="1"/>
  <c r="S30" i="25"/>
  <c r="K30" i="25" s="1"/>
  <c r="AL37" i="25"/>
  <c r="H37" i="25"/>
  <c r="AH37" i="25" s="1"/>
  <c r="S37" i="25"/>
  <c r="K37" i="25" s="1"/>
  <c r="AL50" i="25"/>
  <c r="H50" i="25"/>
  <c r="AH50" i="25" s="1"/>
  <c r="S50" i="25"/>
  <c r="K50" i="25" s="1"/>
  <c r="AL45" i="25"/>
  <c r="H45" i="25"/>
  <c r="AH45" i="25" s="1"/>
  <c r="S45" i="25"/>
  <c r="K45" i="25" s="1"/>
  <c r="AL89" i="25"/>
  <c r="H89" i="25"/>
  <c r="AH89" i="25" s="1"/>
  <c r="S89" i="25"/>
  <c r="K89" i="25" s="1"/>
  <c r="AL20" i="25"/>
  <c r="H20" i="25"/>
  <c r="AH20" i="25" s="1"/>
  <c r="S20" i="25"/>
  <c r="K20" i="25" s="1"/>
  <c r="AL40" i="25"/>
  <c r="H40" i="25"/>
  <c r="AH40" i="25" s="1"/>
  <c r="S40" i="25"/>
  <c r="K40" i="25" s="1"/>
  <c r="AL56" i="25"/>
  <c r="H56" i="25"/>
  <c r="AH56" i="25" s="1"/>
  <c r="S56" i="25"/>
  <c r="K56" i="25" s="1"/>
  <c r="AL72" i="25"/>
  <c r="H72" i="25"/>
  <c r="AH72" i="25" s="1"/>
  <c r="S72" i="25"/>
  <c r="K72" i="25" s="1"/>
  <c r="AL88" i="25"/>
  <c r="H88" i="25"/>
  <c r="AH88" i="25" s="1"/>
  <c r="S88" i="25"/>
  <c r="K88" i="25" s="1"/>
  <c r="AL70" i="25"/>
  <c r="H70" i="25"/>
  <c r="AH70" i="25" s="1"/>
  <c r="S70" i="25"/>
  <c r="K70" i="25" s="1"/>
  <c r="AL86" i="25"/>
  <c r="H86" i="25"/>
  <c r="AH86" i="25" s="1"/>
  <c r="S86" i="25"/>
  <c r="K86" i="25" s="1"/>
  <c r="AL120" i="25"/>
  <c r="H120" i="25"/>
  <c r="AH120" i="25" s="1"/>
  <c r="S120" i="25"/>
  <c r="K120" i="25" s="1"/>
  <c r="H8" i="25"/>
  <c r="AH8" i="25" s="1"/>
  <c r="AL8" i="25"/>
  <c r="S8" i="25"/>
  <c r="K8" i="25" s="1"/>
  <c r="AL13" i="25"/>
  <c r="H13" i="25"/>
  <c r="AH13" i="25" s="1"/>
  <c r="S13" i="25"/>
  <c r="K13" i="25" s="1"/>
  <c r="AL33" i="25"/>
  <c r="H33" i="25"/>
  <c r="AH33" i="25" s="1"/>
  <c r="S33" i="25"/>
  <c r="K33" i="25" s="1"/>
  <c r="AL65" i="25"/>
  <c r="H65" i="25"/>
  <c r="AH65" i="25" s="1"/>
  <c r="S65" i="25"/>
  <c r="K65" i="25" s="1"/>
  <c r="H113" i="25"/>
  <c r="AH113" i="25" s="1"/>
  <c r="AL113" i="25"/>
  <c r="S113" i="25"/>
  <c r="K113" i="25" s="1"/>
  <c r="AL19" i="25"/>
  <c r="H19" i="25"/>
  <c r="AH19" i="25" s="1"/>
  <c r="S19" i="25"/>
  <c r="K19" i="25" s="1"/>
  <c r="AL39" i="25"/>
  <c r="H39" i="25"/>
  <c r="AH39" i="25" s="1"/>
  <c r="S39" i="25"/>
  <c r="K39" i="25" s="1"/>
  <c r="AL55" i="25"/>
  <c r="H55" i="25"/>
  <c r="AH55" i="25" s="1"/>
  <c r="S55" i="25"/>
  <c r="K55" i="25" s="1"/>
  <c r="AL71" i="25"/>
  <c r="H71" i="25"/>
  <c r="AH71" i="25" s="1"/>
  <c r="S71" i="25"/>
  <c r="K71" i="25" s="1"/>
  <c r="AL87" i="25"/>
  <c r="H87" i="25"/>
  <c r="AH87" i="25" s="1"/>
  <c r="S87" i="25"/>
  <c r="K87" i="25" s="1"/>
  <c r="H122" i="25"/>
  <c r="AH122" i="25" s="1"/>
  <c r="AL122" i="25"/>
  <c r="S122" i="25"/>
  <c r="K122" i="25" s="1"/>
  <c r="H222" i="25"/>
  <c r="AH222" i="25" s="1"/>
  <c r="AL222" i="25"/>
  <c r="S222" i="25"/>
  <c r="K222" i="25" s="1"/>
  <c r="H230" i="25"/>
  <c r="AH230" i="25" s="1"/>
  <c r="AL230" i="25"/>
  <c r="S230" i="25"/>
  <c r="K230" i="25" s="1"/>
  <c r="AL277" i="25"/>
  <c r="H277" i="25"/>
  <c r="AH277" i="25" s="1"/>
  <c r="S277" i="25"/>
  <c r="K277" i="25" s="1"/>
  <c r="AL93" i="25"/>
  <c r="H93" i="25"/>
  <c r="AH93" i="25" s="1"/>
  <c r="S93" i="25"/>
  <c r="K93" i="25" s="1"/>
  <c r="AL97" i="25"/>
  <c r="H97" i="25"/>
  <c r="AH97" i="25" s="1"/>
  <c r="S97" i="25"/>
  <c r="K97" i="25" s="1"/>
  <c r="AL101" i="25"/>
  <c r="H101" i="25"/>
  <c r="AH101" i="25" s="1"/>
  <c r="S101" i="25"/>
  <c r="K101" i="25" s="1"/>
  <c r="AL105" i="25"/>
  <c r="H105" i="25"/>
  <c r="AH105" i="25" s="1"/>
  <c r="S105" i="25"/>
  <c r="K105" i="25" s="1"/>
  <c r="AL123" i="25"/>
  <c r="H123" i="25"/>
  <c r="AH123" i="25" s="1"/>
  <c r="S123" i="25"/>
  <c r="K123" i="25" s="1"/>
  <c r="AL132" i="25"/>
  <c r="H132" i="25"/>
  <c r="AH132" i="25" s="1"/>
  <c r="S132" i="25"/>
  <c r="K132" i="25" s="1"/>
  <c r="AL140" i="25"/>
  <c r="H140" i="25"/>
  <c r="AH140" i="25" s="1"/>
  <c r="S140" i="25"/>
  <c r="K140" i="25" s="1"/>
  <c r="AL148" i="25"/>
  <c r="H148" i="25"/>
  <c r="AH148" i="25" s="1"/>
  <c r="S148" i="25"/>
  <c r="K148" i="25" s="1"/>
  <c r="AL156" i="25"/>
  <c r="H156" i="25"/>
  <c r="AH156" i="25" s="1"/>
  <c r="S156" i="25"/>
  <c r="K156" i="25" s="1"/>
  <c r="AL164" i="25"/>
  <c r="H164" i="25"/>
  <c r="AH164" i="25" s="1"/>
  <c r="S164" i="25"/>
  <c r="K164" i="25" s="1"/>
  <c r="AL172" i="25"/>
  <c r="H172" i="25"/>
  <c r="AH172" i="25" s="1"/>
  <c r="S172" i="25"/>
  <c r="K172" i="25" s="1"/>
  <c r="AL180" i="25"/>
  <c r="H180" i="25"/>
  <c r="AH180" i="25" s="1"/>
  <c r="S180" i="25"/>
  <c r="K180" i="25" s="1"/>
  <c r="AL188" i="25"/>
  <c r="H188" i="25"/>
  <c r="AH188" i="25" s="1"/>
  <c r="S188" i="25"/>
  <c r="K188" i="25" s="1"/>
  <c r="AL196" i="25"/>
  <c r="H196" i="25"/>
  <c r="AH196" i="25" s="1"/>
  <c r="S196" i="25"/>
  <c r="K196" i="25" s="1"/>
  <c r="H138" i="25"/>
  <c r="AH138" i="25" s="1"/>
  <c r="AL138" i="25"/>
  <c r="S138" i="25"/>
  <c r="K138" i="25" s="1"/>
  <c r="H154" i="25"/>
  <c r="AH154" i="25" s="1"/>
  <c r="AL154" i="25"/>
  <c r="S154" i="25"/>
  <c r="K154" i="25" s="1"/>
  <c r="H170" i="25"/>
  <c r="AH170" i="25" s="1"/>
  <c r="AL170" i="25"/>
  <c r="S170" i="25"/>
  <c r="K170" i="25" s="1"/>
  <c r="H186" i="25"/>
  <c r="AH186" i="25" s="1"/>
  <c r="AL186" i="25"/>
  <c r="S186" i="25"/>
  <c r="K186" i="25" s="1"/>
  <c r="H217" i="25"/>
  <c r="AH217" i="25" s="1"/>
  <c r="AL217" i="25"/>
  <c r="S217" i="25"/>
  <c r="K217" i="25" s="1"/>
  <c r="H232" i="25"/>
  <c r="AH232" i="25" s="1"/>
  <c r="AL232" i="25"/>
  <c r="S232" i="25"/>
  <c r="K232" i="25" s="1"/>
  <c r="H240" i="25"/>
  <c r="AH240" i="25" s="1"/>
  <c r="AL240" i="25"/>
  <c r="S240" i="25"/>
  <c r="K240" i="25" s="1"/>
  <c r="H248" i="25"/>
  <c r="AH248" i="25" s="1"/>
  <c r="AL248" i="25"/>
  <c r="S248" i="25"/>
  <c r="K248" i="25" s="1"/>
  <c r="H256" i="25"/>
  <c r="AH256" i="25" s="1"/>
  <c r="AL256" i="25"/>
  <c r="S256" i="25"/>
  <c r="K256" i="25" s="1"/>
  <c r="H264" i="25"/>
  <c r="AH264" i="25" s="1"/>
  <c r="AL264" i="25"/>
  <c r="S264" i="25"/>
  <c r="K264" i="25" s="1"/>
  <c r="AL274" i="25"/>
  <c r="H274" i="25"/>
  <c r="AH274" i="25" s="1"/>
  <c r="S274" i="25"/>
  <c r="K274" i="25" s="1"/>
  <c r="AL135" i="25"/>
  <c r="H135" i="25"/>
  <c r="AH135" i="25" s="1"/>
  <c r="S135" i="25"/>
  <c r="K135" i="25" s="1"/>
  <c r="AL151" i="25"/>
  <c r="H151" i="25"/>
  <c r="AH151" i="25" s="1"/>
  <c r="S151" i="25"/>
  <c r="K151" i="25" s="1"/>
  <c r="AL167" i="25"/>
  <c r="H167" i="25"/>
  <c r="AH167" i="25" s="1"/>
  <c r="S167" i="25"/>
  <c r="K167" i="25" s="1"/>
  <c r="AL183" i="25"/>
  <c r="H183" i="25"/>
  <c r="AH183" i="25" s="1"/>
  <c r="S183" i="25"/>
  <c r="K183" i="25" s="1"/>
  <c r="AL199" i="25"/>
  <c r="H199" i="25"/>
  <c r="AH199" i="25" s="1"/>
  <c r="S199" i="25"/>
  <c r="K199" i="25" s="1"/>
  <c r="H206" i="25"/>
  <c r="AH206" i="25" s="1"/>
  <c r="AL206" i="25"/>
  <c r="S206" i="25"/>
  <c r="K206" i="25" s="1"/>
  <c r="H224" i="25"/>
  <c r="AH224" i="25" s="1"/>
  <c r="AL224" i="25"/>
  <c r="S224" i="25"/>
  <c r="K224" i="25" s="1"/>
  <c r="AL308" i="25"/>
  <c r="H308" i="25"/>
  <c r="AH308" i="25" s="1"/>
  <c r="S308" i="25"/>
  <c r="K308" i="25" s="1"/>
  <c r="H238" i="25"/>
  <c r="AH238" i="25" s="1"/>
  <c r="AL238" i="25"/>
  <c r="S238" i="25"/>
  <c r="K238" i="25" s="1"/>
  <c r="H254" i="25"/>
  <c r="AH254" i="25" s="1"/>
  <c r="AL254" i="25"/>
  <c r="S254" i="25"/>
  <c r="K254" i="25" s="1"/>
  <c r="H283" i="25"/>
  <c r="AH283" i="25" s="1"/>
  <c r="AL283" i="25"/>
  <c r="S283" i="25"/>
  <c r="K283" i="25" s="1"/>
  <c r="AL204" i="25"/>
  <c r="H204" i="25"/>
  <c r="AH204" i="25" s="1"/>
  <c r="S204" i="25"/>
  <c r="K204" i="25" s="1"/>
  <c r="H241" i="25"/>
  <c r="AH241" i="25" s="1"/>
  <c r="AL241" i="25"/>
  <c r="S241" i="25"/>
  <c r="K241" i="25" s="1"/>
  <c r="H257" i="25"/>
  <c r="AH257" i="25" s="1"/>
  <c r="AL257" i="25"/>
  <c r="S257" i="25"/>
  <c r="K257" i="25" s="1"/>
  <c r="H294" i="25"/>
  <c r="AH294" i="25" s="1"/>
  <c r="AL294" i="25"/>
  <c r="S294" i="25"/>
  <c r="K294" i="25" s="1"/>
  <c r="AL309" i="25"/>
  <c r="H309" i="25"/>
  <c r="AH309" i="25" s="1"/>
  <c r="S309" i="25"/>
  <c r="K309" i="25" s="1"/>
  <c r="AL279" i="25"/>
  <c r="H279" i="25"/>
  <c r="AH279" i="25" s="1"/>
  <c r="S279" i="25"/>
  <c r="K279" i="25" s="1"/>
  <c r="H293" i="25"/>
  <c r="AH293" i="25" s="1"/>
  <c r="AL293" i="25"/>
  <c r="S293" i="25"/>
  <c r="K293" i="25" s="1"/>
  <c r="H284" i="25"/>
  <c r="AH284" i="25" s="1"/>
  <c r="AL284" i="25"/>
  <c r="S284" i="25"/>
  <c r="K284" i="25" s="1"/>
  <c r="AL300" i="25"/>
  <c r="H300" i="25"/>
  <c r="AH300" i="25" s="1"/>
  <c r="S300" i="25"/>
  <c r="K300" i="25" s="1"/>
  <c r="AL315" i="25"/>
  <c r="H315" i="25"/>
  <c r="AH315" i="25" s="1"/>
  <c r="S315" i="25"/>
  <c r="K315" i="25" s="1"/>
  <c r="AL304" i="25"/>
  <c r="H304" i="25"/>
  <c r="AH304" i="25" s="1"/>
  <c r="S304" i="25"/>
  <c r="K304" i="25" s="1"/>
  <c r="AL18" i="25"/>
  <c r="H18" i="25"/>
  <c r="AH18" i="25" s="1"/>
  <c r="S18" i="25"/>
  <c r="K18" i="25" s="1"/>
  <c r="AL38" i="25"/>
  <c r="H38" i="25"/>
  <c r="AH38" i="25" s="1"/>
  <c r="S38" i="25"/>
  <c r="K38" i="25" s="1"/>
  <c r="AL53" i="25"/>
  <c r="H53" i="25"/>
  <c r="AH53" i="25" s="1"/>
  <c r="S53" i="25"/>
  <c r="K53" i="25" s="1"/>
  <c r="AL24" i="25"/>
  <c r="H24" i="25"/>
  <c r="AH24" i="25" s="1"/>
  <c r="S24" i="25"/>
  <c r="K24" i="25" s="1"/>
  <c r="AL60" i="25"/>
  <c r="H60" i="25"/>
  <c r="AH60" i="25" s="1"/>
  <c r="S60" i="25"/>
  <c r="K60" i="25" s="1"/>
  <c r="AL54" i="25"/>
  <c r="H54" i="25"/>
  <c r="AH54" i="25" s="1"/>
  <c r="S54" i="25"/>
  <c r="K54" i="25" s="1"/>
  <c r="AL90" i="25"/>
  <c r="H90" i="25"/>
  <c r="AH90" i="25" s="1"/>
  <c r="S90" i="25"/>
  <c r="K90" i="25" s="1"/>
  <c r="AL9" i="25"/>
  <c r="H9" i="25"/>
  <c r="AH9" i="25" s="1"/>
  <c r="S9" i="25"/>
  <c r="K9" i="25" s="1"/>
  <c r="AL49" i="25"/>
  <c r="H49" i="25"/>
  <c r="AH49" i="25" s="1"/>
  <c r="S49" i="25"/>
  <c r="K49" i="25" s="1"/>
  <c r="H117" i="25"/>
  <c r="AH117" i="25" s="1"/>
  <c r="AL117" i="25"/>
  <c r="S117" i="25"/>
  <c r="K117" i="25" s="1"/>
  <c r="AL59" i="25"/>
  <c r="H59" i="25"/>
  <c r="AH59" i="25" s="1"/>
  <c r="S59" i="25"/>
  <c r="K59" i="25" s="1"/>
  <c r="H295" i="25"/>
  <c r="AH295" i="25" s="1"/>
  <c r="AL295" i="25"/>
  <c r="S295" i="25"/>
  <c r="K295" i="25" s="1"/>
  <c r="H126" i="25"/>
  <c r="AH126" i="25" s="1"/>
  <c r="AL126" i="25"/>
  <c r="S126" i="25"/>
  <c r="K126" i="25" s="1"/>
  <c r="H231" i="25"/>
  <c r="AH231" i="25" s="1"/>
  <c r="AL231" i="25"/>
  <c r="S231" i="25"/>
  <c r="K231" i="25" s="1"/>
  <c r="AL94" i="25"/>
  <c r="H94" i="25"/>
  <c r="AH94" i="25" s="1"/>
  <c r="S94" i="25"/>
  <c r="K94" i="25" s="1"/>
  <c r="AL102" i="25"/>
  <c r="H102" i="25"/>
  <c r="AH102" i="25" s="1"/>
  <c r="S102" i="25"/>
  <c r="K102" i="25" s="1"/>
  <c r="AL127" i="25"/>
  <c r="H127" i="25"/>
  <c r="AH127" i="25" s="1"/>
  <c r="S127" i="25"/>
  <c r="K127" i="25" s="1"/>
  <c r="H149" i="25"/>
  <c r="AH149" i="25" s="1"/>
  <c r="AL149" i="25"/>
  <c r="S149" i="25"/>
  <c r="K149" i="25" s="1"/>
  <c r="H165" i="25"/>
  <c r="AH165" i="25" s="1"/>
  <c r="AL165" i="25"/>
  <c r="S165" i="25"/>
  <c r="K165" i="25" s="1"/>
  <c r="H181" i="25"/>
  <c r="AH181" i="25" s="1"/>
  <c r="AL181" i="25"/>
  <c r="S181" i="25"/>
  <c r="K181" i="25" s="1"/>
  <c r="H189" i="25"/>
  <c r="AH189" i="25" s="1"/>
  <c r="AL189" i="25"/>
  <c r="S189" i="25"/>
  <c r="K189" i="25" s="1"/>
  <c r="H142" i="25"/>
  <c r="AH142" i="25" s="1"/>
  <c r="AL142" i="25"/>
  <c r="S142" i="25"/>
  <c r="K142" i="25" s="1"/>
  <c r="H174" i="25"/>
  <c r="AH174" i="25" s="1"/>
  <c r="AL174" i="25"/>
  <c r="S174" i="25"/>
  <c r="K174" i="25" s="1"/>
  <c r="H221" i="25"/>
  <c r="AH221" i="25" s="1"/>
  <c r="AL221" i="25"/>
  <c r="S221" i="25"/>
  <c r="K221" i="25" s="1"/>
  <c r="H243" i="25"/>
  <c r="AH243" i="25" s="1"/>
  <c r="AL243" i="25"/>
  <c r="S243" i="25"/>
  <c r="K243" i="25" s="1"/>
  <c r="H259" i="25"/>
  <c r="AH259" i="25" s="1"/>
  <c r="AL259" i="25"/>
  <c r="S259" i="25"/>
  <c r="K259" i="25" s="1"/>
  <c r="AL278" i="25"/>
  <c r="H278" i="25"/>
  <c r="AH278" i="25" s="1"/>
  <c r="S278" i="25"/>
  <c r="K278" i="25" s="1"/>
  <c r="AL139" i="25"/>
  <c r="H139" i="25"/>
  <c r="AH139" i="25" s="1"/>
  <c r="S139" i="25"/>
  <c r="K139" i="25" s="1"/>
  <c r="AL171" i="25"/>
  <c r="H171" i="25"/>
  <c r="AH171" i="25" s="1"/>
  <c r="S171" i="25"/>
  <c r="K171" i="25" s="1"/>
  <c r="AL209" i="25"/>
  <c r="H209" i="25"/>
  <c r="AH209" i="25" s="1"/>
  <c r="S209" i="25"/>
  <c r="K209" i="25" s="1"/>
  <c r="H228" i="25"/>
  <c r="AH228" i="25" s="1"/>
  <c r="AL228" i="25"/>
  <c r="S228" i="25"/>
  <c r="K228" i="25" s="1"/>
  <c r="H203" i="25"/>
  <c r="AH203" i="25" s="1"/>
  <c r="AL203" i="25"/>
  <c r="S203" i="25"/>
  <c r="K203" i="25" s="1"/>
  <c r="H242" i="25"/>
  <c r="AH242" i="25" s="1"/>
  <c r="AL242" i="25"/>
  <c r="S242" i="25"/>
  <c r="K242" i="25" s="1"/>
  <c r="H258" i="25"/>
  <c r="AH258" i="25" s="1"/>
  <c r="AL258" i="25"/>
  <c r="S258" i="25"/>
  <c r="K258" i="25" s="1"/>
  <c r="H291" i="25"/>
  <c r="AH291" i="25" s="1"/>
  <c r="AL291" i="25"/>
  <c r="S291" i="25"/>
  <c r="K291" i="25" s="1"/>
  <c r="AL208" i="25"/>
  <c r="H208" i="25"/>
  <c r="AH208" i="25" s="1"/>
  <c r="S208" i="25"/>
  <c r="K208" i="25" s="1"/>
  <c r="H245" i="25"/>
  <c r="AH245" i="25" s="1"/>
  <c r="AL245" i="25"/>
  <c r="S245" i="25"/>
  <c r="K245" i="25" s="1"/>
  <c r="H261" i="25"/>
  <c r="AH261" i="25" s="1"/>
  <c r="AL261" i="25"/>
  <c r="S261" i="25"/>
  <c r="K261" i="25" s="1"/>
  <c r="AL272" i="25"/>
  <c r="H272" i="25"/>
  <c r="AH272" i="25" s="1"/>
  <c r="S272" i="25"/>
  <c r="K272" i="25" s="1"/>
  <c r="H281" i="25"/>
  <c r="AH281" i="25" s="1"/>
  <c r="AL281" i="25"/>
  <c r="S281" i="25"/>
  <c r="K281" i="25" s="1"/>
  <c r="H297" i="25"/>
  <c r="AH297" i="25" s="1"/>
  <c r="AL297" i="25"/>
  <c r="S297" i="25"/>
  <c r="K297" i="25" s="1"/>
  <c r="H288" i="25"/>
  <c r="AH288" i="25" s="1"/>
  <c r="AL288" i="25"/>
  <c r="S288" i="25"/>
  <c r="K288" i="25" s="1"/>
  <c r="AL305" i="25"/>
  <c r="H305" i="25"/>
  <c r="AH305" i="25" s="1"/>
  <c r="S305" i="25"/>
  <c r="K305" i="25" s="1"/>
  <c r="AL301" i="25"/>
  <c r="H301" i="25"/>
  <c r="AH301" i="25" s="1"/>
  <c r="S301" i="25"/>
  <c r="K301" i="25" s="1"/>
  <c r="AL306" i="25"/>
  <c r="H306" i="25"/>
  <c r="AH306" i="25" s="1"/>
  <c r="S306" i="25"/>
  <c r="K306" i="25" s="1"/>
  <c r="AL22" i="25"/>
  <c r="H22" i="25"/>
  <c r="AH22" i="25" s="1"/>
  <c r="S22" i="25"/>
  <c r="K22" i="25" s="1"/>
  <c r="AL35" i="25"/>
  <c r="H35" i="25"/>
  <c r="AH35" i="25" s="1"/>
  <c r="S35" i="25"/>
  <c r="K35" i="25" s="1"/>
  <c r="AL42" i="25"/>
  <c r="H42" i="25"/>
  <c r="AH42" i="25" s="1"/>
  <c r="S42" i="25"/>
  <c r="K42" i="25" s="1"/>
  <c r="AL21" i="25"/>
  <c r="H21" i="25"/>
  <c r="AH21" i="25" s="1"/>
  <c r="S21" i="25"/>
  <c r="K21" i="25" s="1"/>
  <c r="AL69" i="25"/>
  <c r="H69" i="25"/>
  <c r="AH69" i="25" s="1"/>
  <c r="S69" i="25"/>
  <c r="K69" i="25" s="1"/>
  <c r="AL12" i="25"/>
  <c r="H12" i="25"/>
  <c r="AH12" i="25" s="1"/>
  <c r="S12" i="25"/>
  <c r="K12" i="25" s="1"/>
  <c r="AL28" i="25"/>
  <c r="H28" i="25"/>
  <c r="AH28" i="25" s="1"/>
  <c r="S28" i="25"/>
  <c r="K28" i="25" s="1"/>
  <c r="AL48" i="25"/>
  <c r="H48" i="25"/>
  <c r="AH48" i="25" s="1"/>
  <c r="S48" i="25"/>
  <c r="K48" i="25" s="1"/>
  <c r="AL64" i="25"/>
  <c r="H64" i="25"/>
  <c r="AH64" i="25" s="1"/>
  <c r="S64" i="25"/>
  <c r="K64" i="25" s="1"/>
  <c r="AL80" i="25"/>
  <c r="H80" i="25"/>
  <c r="AH80" i="25" s="1"/>
  <c r="S80" i="25"/>
  <c r="K80" i="25" s="1"/>
  <c r="AL62" i="25"/>
  <c r="H62" i="25"/>
  <c r="AH62" i="25" s="1"/>
  <c r="S62" i="25"/>
  <c r="K62" i="25" s="1"/>
  <c r="AL78" i="25"/>
  <c r="H78" i="25"/>
  <c r="AH78" i="25" s="1"/>
  <c r="S78" i="25"/>
  <c r="K78" i="25" s="1"/>
  <c r="AL112" i="25"/>
  <c r="H112" i="25"/>
  <c r="AH112" i="25" s="1"/>
  <c r="S112" i="25"/>
  <c r="K112" i="25" s="1"/>
  <c r="AL6" i="25"/>
  <c r="BP6" i="25"/>
  <c r="H6" i="25"/>
  <c r="AH6" i="25" s="1"/>
  <c r="S6" i="25"/>
  <c r="K6" i="25" s="1"/>
  <c r="H10" i="25"/>
  <c r="AH10" i="25" s="1"/>
  <c r="AL10" i="25"/>
  <c r="S10" i="25"/>
  <c r="K10" i="25" s="1"/>
  <c r="AL25" i="25"/>
  <c r="H25" i="25"/>
  <c r="AH25" i="25" s="1"/>
  <c r="S25" i="25"/>
  <c r="K25" i="25" s="1"/>
  <c r="AL57" i="25"/>
  <c r="H57" i="25"/>
  <c r="AH57" i="25" s="1"/>
  <c r="S57" i="25"/>
  <c r="K57" i="25" s="1"/>
  <c r="AL77" i="25"/>
  <c r="H77" i="25"/>
  <c r="AH77" i="25" s="1"/>
  <c r="S77" i="25"/>
  <c r="K77" i="25" s="1"/>
  <c r="H125" i="25"/>
  <c r="AH125" i="25" s="1"/>
  <c r="AL125" i="25"/>
  <c r="S125" i="25"/>
  <c r="K125" i="25" s="1"/>
  <c r="AL27" i="25"/>
  <c r="H27" i="25"/>
  <c r="AH27" i="25" s="1"/>
  <c r="S27" i="25"/>
  <c r="K27" i="25" s="1"/>
  <c r="AL47" i="25"/>
  <c r="H47" i="25"/>
  <c r="AH47" i="25" s="1"/>
  <c r="S47" i="25"/>
  <c r="K47" i="25" s="1"/>
  <c r="AL63" i="25"/>
  <c r="H63" i="25"/>
  <c r="AH63" i="25" s="1"/>
  <c r="S63" i="25"/>
  <c r="K63" i="25" s="1"/>
  <c r="AL79" i="25"/>
  <c r="H79" i="25"/>
  <c r="AH79" i="25" s="1"/>
  <c r="S79" i="25"/>
  <c r="K79" i="25" s="1"/>
  <c r="H114" i="25"/>
  <c r="AH114" i="25" s="1"/>
  <c r="AL114" i="25"/>
  <c r="S114" i="25"/>
  <c r="K114" i="25" s="1"/>
  <c r="H218" i="25"/>
  <c r="AH218" i="25" s="1"/>
  <c r="AL218" i="25"/>
  <c r="S218" i="25"/>
  <c r="K218" i="25" s="1"/>
  <c r="H226" i="25"/>
  <c r="AH226" i="25" s="1"/>
  <c r="AL226" i="25"/>
  <c r="S226" i="25"/>
  <c r="K226" i="25" s="1"/>
  <c r="AL269" i="25"/>
  <c r="H269" i="25"/>
  <c r="AH269" i="25" s="1"/>
  <c r="S269" i="25"/>
  <c r="K269" i="25" s="1"/>
  <c r="AL91" i="25"/>
  <c r="H91" i="25"/>
  <c r="AH91" i="25" s="1"/>
  <c r="S91" i="25"/>
  <c r="K91" i="25" s="1"/>
  <c r="AL95" i="25"/>
  <c r="H95" i="25"/>
  <c r="AH95" i="25" s="1"/>
  <c r="S95" i="25"/>
  <c r="K95" i="25" s="1"/>
  <c r="AL99" i="25"/>
  <c r="H99" i="25"/>
  <c r="AH99" i="25" s="1"/>
  <c r="S99" i="25"/>
  <c r="K99" i="25" s="1"/>
  <c r="AL103" i="25"/>
  <c r="H103" i="25"/>
  <c r="AH103" i="25" s="1"/>
  <c r="S103" i="25"/>
  <c r="K103" i="25" s="1"/>
  <c r="AL115" i="25"/>
  <c r="H115" i="25"/>
  <c r="AH115" i="25" s="1"/>
  <c r="S115" i="25"/>
  <c r="K115" i="25" s="1"/>
  <c r="AL128" i="25"/>
  <c r="H128" i="25"/>
  <c r="AH128" i="25" s="1"/>
  <c r="S128" i="25"/>
  <c r="K128" i="25" s="1"/>
  <c r="AL136" i="25"/>
  <c r="H136" i="25"/>
  <c r="AH136" i="25" s="1"/>
  <c r="S136" i="25"/>
  <c r="K136" i="25" s="1"/>
  <c r="AL144" i="25"/>
  <c r="H144" i="25"/>
  <c r="AH144" i="25" s="1"/>
  <c r="S144" i="25"/>
  <c r="K144" i="25" s="1"/>
  <c r="AL152" i="25"/>
  <c r="H152" i="25"/>
  <c r="AH152" i="25" s="1"/>
  <c r="S152" i="25"/>
  <c r="K152" i="25" s="1"/>
  <c r="AL160" i="25"/>
  <c r="H160" i="25"/>
  <c r="AH160" i="25" s="1"/>
  <c r="S160" i="25"/>
  <c r="K160" i="25" s="1"/>
  <c r="AL168" i="25"/>
  <c r="H168" i="25"/>
  <c r="AH168" i="25" s="1"/>
  <c r="S168" i="25"/>
  <c r="K168" i="25" s="1"/>
  <c r="AL176" i="25"/>
  <c r="H176" i="25"/>
  <c r="AH176" i="25" s="1"/>
  <c r="S176" i="25"/>
  <c r="K176" i="25" s="1"/>
  <c r="AL184" i="25"/>
  <c r="H184" i="25"/>
  <c r="AH184" i="25" s="1"/>
  <c r="S184" i="25"/>
  <c r="K184" i="25" s="1"/>
  <c r="AL192" i="25"/>
  <c r="H192" i="25"/>
  <c r="AH192" i="25" s="1"/>
  <c r="S192" i="25"/>
  <c r="K192" i="25" s="1"/>
  <c r="H130" i="25"/>
  <c r="AH130" i="25" s="1"/>
  <c r="AL130" i="25"/>
  <c r="S130" i="25"/>
  <c r="K130" i="25" s="1"/>
  <c r="H146" i="25"/>
  <c r="AH146" i="25" s="1"/>
  <c r="AL146" i="25"/>
  <c r="S146" i="25"/>
  <c r="K146" i="25" s="1"/>
  <c r="H162" i="25"/>
  <c r="AH162" i="25" s="1"/>
  <c r="AL162" i="25"/>
  <c r="S162" i="25"/>
  <c r="K162" i="25" s="1"/>
  <c r="H178" i="25"/>
  <c r="AH178" i="25" s="1"/>
  <c r="AL178" i="25"/>
  <c r="S178" i="25"/>
  <c r="K178" i="25" s="1"/>
  <c r="H194" i="25"/>
  <c r="AH194" i="25" s="1"/>
  <c r="AL194" i="25"/>
  <c r="S194" i="25"/>
  <c r="K194" i="25" s="1"/>
  <c r="H225" i="25"/>
  <c r="AH225" i="25" s="1"/>
  <c r="AL225" i="25"/>
  <c r="S225" i="25"/>
  <c r="K225" i="25" s="1"/>
  <c r="H236" i="25"/>
  <c r="AH236" i="25" s="1"/>
  <c r="AL236" i="25"/>
  <c r="S236" i="25"/>
  <c r="K236" i="25" s="1"/>
  <c r="H244" i="25"/>
  <c r="AH244" i="25" s="1"/>
  <c r="AL244" i="25"/>
  <c r="S244" i="25"/>
  <c r="K244" i="25" s="1"/>
  <c r="H252" i="25"/>
  <c r="AH252" i="25" s="1"/>
  <c r="AL252" i="25"/>
  <c r="S252" i="25"/>
  <c r="K252" i="25" s="1"/>
  <c r="H260" i="25"/>
  <c r="AH260" i="25" s="1"/>
  <c r="AL260" i="25"/>
  <c r="S260" i="25"/>
  <c r="K260" i="25" s="1"/>
  <c r="AL268" i="25"/>
  <c r="H268" i="25"/>
  <c r="AH268" i="25" s="1"/>
  <c r="S268" i="25"/>
  <c r="K268" i="25" s="1"/>
  <c r="H287" i="25"/>
  <c r="AH287" i="25" s="1"/>
  <c r="AL287" i="25"/>
  <c r="S287" i="25"/>
  <c r="K287" i="25" s="1"/>
  <c r="AL143" i="25"/>
  <c r="H143" i="25"/>
  <c r="AH143" i="25" s="1"/>
  <c r="S143" i="25"/>
  <c r="K143" i="25" s="1"/>
  <c r="AL159" i="25"/>
  <c r="H159" i="25"/>
  <c r="AH159" i="25" s="1"/>
  <c r="S159" i="25"/>
  <c r="K159" i="25" s="1"/>
  <c r="AL175" i="25"/>
  <c r="H175" i="25"/>
  <c r="AH175" i="25" s="1"/>
  <c r="S175" i="25"/>
  <c r="K175" i="25" s="1"/>
  <c r="AL191" i="25"/>
  <c r="H191" i="25"/>
  <c r="AH191" i="25" s="1"/>
  <c r="S191" i="25"/>
  <c r="K191" i="25" s="1"/>
  <c r="H202" i="25"/>
  <c r="AH202" i="25" s="1"/>
  <c r="AL202" i="25"/>
  <c r="S202" i="25"/>
  <c r="K202" i="25" s="1"/>
  <c r="H210" i="25"/>
  <c r="AH210" i="25" s="1"/>
  <c r="AL210" i="25"/>
  <c r="S210" i="25"/>
  <c r="K210" i="25" s="1"/>
  <c r="H282" i="25"/>
  <c r="AH282" i="25" s="1"/>
  <c r="AL282" i="25"/>
  <c r="S282" i="25"/>
  <c r="K282" i="25" s="1"/>
  <c r="H207" i="25"/>
  <c r="AH207" i="25" s="1"/>
  <c r="AL207" i="25"/>
  <c r="S207" i="25"/>
  <c r="K207" i="25" s="1"/>
  <c r="H246" i="25"/>
  <c r="AH246" i="25" s="1"/>
  <c r="AL246" i="25"/>
  <c r="S246" i="25"/>
  <c r="K246" i="25" s="1"/>
  <c r="H262" i="25"/>
  <c r="AH262" i="25" s="1"/>
  <c r="AL262" i="25"/>
  <c r="S262" i="25"/>
  <c r="K262" i="25" s="1"/>
  <c r="AL299" i="25"/>
  <c r="H299" i="25"/>
  <c r="AH299" i="25" s="1"/>
  <c r="S299" i="25"/>
  <c r="K299" i="25" s="1"/>
  <c r="H233" i="25"/>
  <c r="AH233" i="25" s="1"/>
  <c r="AL233" i="25"/>
  <c r="S233" i="25"/>
  <c r="K233" i="25" s="1"/>
  <c r="H249" i="25"/>
  <c r="AH249" i="25" s="1"/>
  <c r="AL249" i="25"/>
  <c r="S249" i="25"/>
  <c r="K249" i="25" s="1"/>
  <c r="H265" i="25"/>
  <c r="AH265" i="25" s="1"/>
  <c r="AL265" i="25"/>
  <c r="S265" i="25"/>
  <c r="K265" i="25" s="1"/>
  <c r="AL276" i="25"/>
  <c r="H276" i="25"/>
  <c r="AH276" i="25" s="1"/>
  <c r="S276" i="25"/>
  <c r="K276" i="25" s="1"/>
  <c r="AL271" i="25"/>
  <c r="H271" i="25"/>
  <c r="AH271" i="25" s="1"/>
  <c r="S271" i="25"/>
  <c r="K271" i="25" s="1"/>
  <c r="H285" i="25"/>
  <c r="AH285" i="25" s="1"/>
  <c r="AL285" i="25"/>
  <c r="S285" i="25"/>
  <c r="K285" i="25" s="1"/>
  <c r="AL312" i="25"/>
  <c r="H312" i="25"/>
  <c r="AH312" i="25" s="1"/>
  <c r="S312" i="25"/>
  <c r="K312" i="25" s="1"/>
  <c r="H292" i="25"/>
  <c r="AH292" i="25" s="1"/>
  <c r="AL292" i="25"/>
  <c r="S292" i="25"/>
  <c r="K292" i="25" s="1"/>
  <c r="AL307" i="25"/>
  <c r="H307" i="25"/>
  <c r="AH307" i="25" s="1"/>
  <c r="S307" i="25"/>
  <c r="K307" i="25" s="1"/>
  <c r="AL302" i="25"/>
  <c r="H302" i="25"/>
  <c r="AH302" i="25" s="1"/>
  <c r="S302" i="25"/>
  <c r="K302" i="25" s="1"/>
  <c r="AL310" i="25"/>
  <c r="H310" i="25"/>
  <c r="AH310" i="25" s="1"/>
  <c r="S310" i="25"/>
  <c r="K310" i="25" s="1"/>
  <c r="AL26" i="25"/>
  <c r="H26" i="25"/>
  <c r="AH26" i="25" s="1"/>
  <c r="S26" i="25"/>
  <c r="K26" i="25" s="1"/>
  <c r="AL36" i="25"/>
  <c r="H36" i="25"/>
  <c r="AH36" i="25" s="1"/>
  <c r="S36" i="25"/>
  <c r="K36" i="25" s="1"/>
  <c r="AL46" i="25"/>
  <c r="H46" i="25"/>
  <c r="AH46" i="25" s="1"/>
  <c r="S46" i="25"/>
  <c r="K46" i="25" s="1"/>
  <c r="AL41" i="25"/>
  <c r="H41" i="25"/>
  <c r="AH41" i="25" s="1"/>
  <c r="S41" i="25"/>
  <c r="K41" i="25" s="1"/>
  <c r="AL81" i="25"/>
  <c r="H81" i="25"/>
  <c r="AH81" i="25" s="1"/>
  <c r="S81" i="25"/>
  <c r="K81" i="25" s="1"/>
  <c r="AL16" i="25"/>
  <c r="H16" i="25"/>
  <c r="AH16" i="25" s="1"/>
  <c r="S16" i="25"/>
  <c r="K16" i="25" s="1"/>
  <c r="AL32" i="25"/>
  <c r="H32" i="25"/>
  <c r="AH32" i="25" s="1"/>
  <c r="S32" i="25"/>
  <c r="K32" i="25" s="1"/>
  <c r="AL52" i="25"/>
  <c r="H52" i="25"/>
  <c r="AH52" i="25" s="1"/>
  <c r="S52" i="25"/>
  <c r="K52" i="25" s="1"/>
  <c r="AL68" i="25"/>
  <c r="H68" i="25"/>
  <c r="AH68" i="25" s="1"/>
  <c r="S68" i="25"/>
  <c r="K68" i="25" s="1"/>
  <c r="AL84" i="25"/>
  <c r="H84" i="25"/>
  <c r="AH84" i="25" s="1"/>
  <c r="S84" i="25"/>
  <c r="K84" i="25" s="1"/>
  <c r="AL66" i="25"/>
  <c r="H66" i="25"/>
  <c r="AH66" i="25" s="1"/>
  <c r="S66" i="25"/>
  <c r="K66" i="25" s="1"/>
  <c r="AL82" i="25"/>
  <c r="H82" i="25"/>
  <c r="AH82" i="25" s="1"/>
  <c r="S82" i="25"/>
  <c r="K82" i="25" s="1"/>
  <c r="AL116" i="25"/>
  <c r="H116" i="25"/>
  <c r="AH116" i="25" s="1"/>
  <c r="S116" i="25"/>
  <c r="K116" i="25" s="1"/>
  <c r="BP7" i="25"/>
  <c r="H7" i="25"/>
  <c r="AH7" i="25" s="1"/>
  <c r="AL7" i="25"/>
  <c r="S7" i="25"/>
  <c r="K7" i="25" s="1"/>
  <c r="H11" i="25"/>
  <c r="AH11" i="25" s="1"/>
  <c r="AL11" i="25"/>
  <c r="S11" i="25"/>
  <c r="K11" i="25" s="1"/>
  <c r="AL29" i="25"/>
  <c r="H29" i="25"/>
  <c r="AH29" i="25" s="1"/>
  <c r="S29" i="25"/>
  <c r="K29" i="25" s="1"/>
  <c r="AL61" i="25"/>
  <c r="H61" i="25"/>
  <c r="AH61" i="25" s="1"/>
  <c r="S61" i="25"/>
  <c r="K61" i="25" s="1"/>
  <c r="AL85" i="25"/>
  <c r="H85" i="25"/>
  <c r="AH85" i="25" s="1"/>
  <c r="S85" i="25"/>
  <c r="K85" i="25" s="1"/>
  <c r="AL15" i="25"/>
  <c r="H15" i="25"/>
  <c r="AH15" i="25" s="1"/>
  <c r="S15" i="25"/>
  <c r="K15" i="25" s="1"/>
  <c r="AL31" i="25"/>
  <c r="H31" i="25"/>
  <c r="AH31" i="25" s="1"/>
  <c r="S31" i="25"/>
  <c r="K31" i="25" s="1"/>
  <c r="AL51" i="25"/>
  <c r="H51" i="25"/>
  <c r="AH51" i="25" s="1"/>
  <c r="S51" i="25"/>
  <c r="K51" i="25" s="1"/>
  <c r="AL67" i="25"/>
  <c r="H67" i="25"/>
  <c r="AH67" i="25" s="1"/>
  <c r="S67" i="25"/>
  <c r="K67" i="25" s="1"/>
  <c r="AL83" i="25"/>
  <c r="H83" i="25"/>
  <c r="AH83" i="25" s="1"/>
  <c r="S83" i="25"/>
  <c r="K83" i="25" s="1"/>
  <c r="H118" i="25"/>
  <c r="AH118" i="25" s="1"/>
  <c r="AL118" i="25"/>
  <c r="S118" i="25"/>
  <c r="K118" i="25" s="1"/>
  <c r="H219" i="25"/>
  <c r="AH219" i="25" s="1"/>
  <c r="AL219" i="25"/>
  <c r="S219" i="25"/>
  <c r="K219" i="25" s="1"/>
  <c r="H227" i="25"/>
  <c r="AH227" i="25" s="1"/>
  <c r="AL227" i="25"/>
  <c r="S227" i="25"/>
  <c r="K227" i="25" s="1"/>
  <c r="AL273" i="25"/>
  <c r="H273" i="25"/>
  <c r="AH273" i="25" s="1"/>
  <c r="S273" i="25"/>
  <c r="K273" i="25" s="1"/>
  <c r="AL92" i="25"/>
  <c r="H92" i="25"/>
  <c r="AH92" i="25" s="1"/>
  <c r="S92" i="25"/>
  <c r="K92" i="25" s="1"/>
  <c r="AL96" i="25"/>
  <c r="H96" i="25"/>
  <c r="AH96" i="25" s="1"/>
  <c r="S96" i="25"/>
  <c r="K96" i="25" s="1"/>
  <c r="AL100" i="25"/>
  <c r="H100" i="25"/>
  <c r="AH100" i="25" s="1"/>
  <c r="S100" i="25"/>
  <c r="K100" i="25" s="1"/>
  <c r="AL104" i="25"/>
  <c r="H104" i="25"/>
  <c r="AH104" i="25" s="1"/>
  <c r="S104" i="25"/>
  <c r="K104" i="25" s="1"/>
  <c r="AL119" i="25"/>
  <c r="H119" i="25"/>
  <c r="AH119" i="25" s="1"/>
  <c r="S119" i="25"/>
  <c r="K119" i="25" s="1"/>
  <c r="H129" i="25"/>
  <c r="AH129" i="25" s="1"/>
  <c r="AL129" i="25"/>
  <c r="S129" i="25"/>
  <c r="K129" i="25" s="1"/>
  <c r="H137" i="25"/>
  <c r="AH137" i="25" s="1"/>
  <c r="AL137" i="25"/>
  <c r="S137" i="25"/>
  <c r="K137" i="25" s="1"/>
  <c r="H145" i="25"/>
  <c r="AH145" i="25" s="1"/>
  <c r="AL145" i="25"/>
  <c r="S145" i="25"/>
  <c r="K145" i="25" s="1"/>
  <c r="H153" i="25"/>
  <c r="AH153" i="25" s="1"/>
  <c r="AL153" i="25"/>
  <c r="S153" i="25"/>
  <c r="K153" i="25" s="1"/>
  <c r="H161" i="25"/>
  <c r="AH161" i="25" s="1"/>
  <c r="AL161" i="25"/>
  <c r="S161" i="25"/>
  <c r="K161" i="25" s="1"/>
  <c r="H169" i="25"/>
  <c r="AH169" i="25" s="1"/>
  <c r="AL169" i="25"/>
  <c r="S169" i="25"/>
  <c r="K169" i="25" s="1"/>
  <c r="H177" i="25"/>
  <c r="AH177" i="25" s="1"/>
  <c r="AL177" i="25"/>
  <c r="S177" i="25"/>
  <c r="K177" i="25" s="1"/>
  <c r="H185" i="25"/>
  <c r="AH185" i="25" s="1"/>
  <c r="AL185" i="25"/>
  <c r="S185" i="25"/>
  <c r="K185" i="25" s="1"/>
  <c r="H193" i="25"/>
  <c r="AH193" i="25" s="1"/>
  <c r="AL193" i="25"/>
  <c r="S193" i="25"/>
  <c r="K193" i="25" s="1"/>
  <c r="H134" i="25"/>
  <c r="AH134" i="25" s="1"/>
  <c r="AL134" i="25"/>
  <c r="S134" i="25"/>
  <c r="K134" i="25" s="1"/>
  <c r="H150" i="25"/>
  <c r="AH150" i="25" s="1"/>
  <c r="AL150" i="25"/>
  <c r="S150" i="25"/>
  <c r="K150" i="25" s="1"/>
  <c r="H166" i="25"/>
  <c r="AH166" i="25" s="1"/>
  <c r="AL166" i="25"/>
  <c r="S166" i="25"/>
  <c r="K166" i="25" s="1"/>
  <c r="H182" i="25"/>
  <c r="AH182" i="25" s="1"/>
  <c r="AL182" i="25"/>
  <c r="S182" i="25"/>
  <c r="K182" i="25" s="1"/>
  <c r="H198" i="25"/>
  <c r="AH198" i="25" s="1"/>
  <c r="AL198" i="25"/>
  <c r="S198" i="25"/>
  <c r="K198" i="25" s="1"/>
  <c r="H229" i="25"/>
  <c r="AH229" i="25" s="1"/>
  <c r="AL229" i="25"/>
  <c r="S229" i="25"/>
  <c r="K229" i="25" s="1"/>
  <c r="H239" i="25"/>
  <c r="AH239" i="25" s="1"/>
  <c r="AL239" i="25"/>
  <c r="S239" i="25"/>
  <c r="K239" i="25" s="1"/>
  <c r="H247" i="25"/>
  <c r="AH247" i="25" s="1"/>
  <c r="AL247" i="25"/>
  <c r="S247" i="25"/>
  <c r="K247" i="25" s="1"/>
  <c r="H255" i="25"/>
  <c r="AH255" i="25" s="1"/>
  <c r="AL255" i="25"/>
  <c r="S255" i="25"/>
  <c r="K255" i="25" s="1"/>
  <c r="H263" i="25"/>
  <c r="AH263" i="25" s="1"/>
  <c r="AL263" i="25"/>
  <c r="S263" i="25"/>
  <c r="K263" i="25" s="1"/>
  <c r="AL270" i="25"/>
  <c r="H270" i="25"/>
  <c r="AH270" i="25" s="1"/>
  <c r="S270" i="25"/>
  <c r="K270" i="25" s="1"/>
  <c r="AL131" i="25"/>
  <c r="H131" i="25"/>
  <c r="AH131" i="25" s="1"/>
  <c r="S131" i="25"/>
  <c r="K131" i="25" s="1"/>
  <c r="AL147" i="25"/>
  <c r="H147" i="25"/>
  <c r="AH147" i="25" s="1"/>
  <c r="S147" i="25"/>
  <c r="K147" i="25" s="1"/>
  <c r="AL163" i="25"/>
  <c r="H163" i="25"/>
  <c r="AH163" i="25" s="1"/>
  <c r="S163" i="25"/>
  <c r="K163" i="25" s="1"/>
  <c r="AL179" i="25"/>
  <c r="H179" i="25"/>
  <c r="AH179" i="25" s="1"/>
  <c r="S179" i="25"/>
  <c r="K179" i="25" s="1"/>
  <c r="AL195" i="25"/>
  <c r="H195" i="25"/>
  <c r="AH195" i="25" s="1"/>
  <c r="S195" i="25"/>
  <c r="K195" i="25" s="1"/>
  <c r="AL205" i="25"/>
  <c r="H205" i="25"/>
  <c r="AH205" i="25" s="1"/>
  <c r="S205" i="25"/>
  <c r="K205" i="25" s="1"/>
  <c r="H220" i="25"/>
  <c r="AH220" i="25" s="1"/>
  <c r="AL220" i="25"/>
  <c r="S220" i="25"/>
  <c r="K220" i="25" s="1"/>
  <c r="H298" i="25"/>
  <c r="AH298" i="25" s="1"/>
  <c r="AL298" i="25"/>
  <c r="S298" i="25"/>
  <c r="K298" i="25" s="1"/>
  <c r="H234" i="25"/>
  <c r="AH234" i="25" s="1"/>
  <c r="AL234" i="25"/>
  <c r="S234" i="25"/>
  <c r="K234" i="25" s="1"/>
  <c r="H250" i="25"/>
  <c r="AH250" i="25" s="1"/>
  <c r="AL250" i="25"/>
  <c r="S250" i="25"/>
  <c r="K250" i="25" s="1"/>
  <c r="H266" i="25"/>
  <c r="AH266" i="25" s="1"/>
  <c r="AL266" i="25"/>
  <c r="S266" i="25"/>
  <c r="K266" i="25" s="1"/>
  <c r="AL200" i="25"/>
  <c r="H200" i="25"/>
  <c r="AH200" i="25" s="1"/>
  <c r="S200" i="25"/>
  <c r="K200" i="25" s="1"/>
  <c r="H237" i="25"/>
  <c r="AH237" i="25" s="1"/>
  <c r="AL237" i="25"/>
  <c r="S237" i="25"/>
  <c r="K237" i="25" s="1"/>
  <c r="H253" i="25"/>
  <c r="AH253" i="25" s="1"/>
  <c r="AL253" i="25"/>
  <c r="S253" i="25"/>
  <c r="K253" i="25" s="1"/>
  <c r="H286" i="25"/>
  <c r="AH286" i="25" s="1"/>
  <c r="AL286" i="25"/>
  <c r="S286" i="25"/>
  <c r="K286" i="25" s="1"/>
  <c r="AL280" i="25"/>
  <c r="H280" i="25"/>
  <c r="AH280" i="25" s="1"/>
  <c r="S280" i="25"/>
  <c r="K280" i="25" s="1"/>
  <c r="AL275" i="25"/>
  <c r="H275" i="25"/>
  <c r="AH275" i="25" s="1"/>
  <c r="S275" i="25"/>
  <c r="K275" i="25" s="1"/>
  <c r="H289" i="25"/>
  <c r="AH289" i="25" s="1"/>
  <c r="AL289" i="25"/>
  <c r="S289" i="25"/>
  <c r="K289" i="25" s="1"/>
  <c r="AL313" i="25"/>
  <c r="H313" i="25"/>
  <c r="AH313" i="25" s="1"/>
  <c r="S313" i="25"/>
  <c r="K313" i="25" s="1"/>
  <c r="H296" i="25"/>
  <c r="AH296" i="25" s="1"/>
  <c r="AL296" i="25"/>
  <c r="S296" i="25"/>
  <c r="K296" i="25" s="1"/>
  <c r="AL311" i="25"/>
  <c r="H311" i="25"/>
  <c r="AH311" i="25" s="1"/>
  <c r="S311" i="25"/>
  <c r="K311" i="25" s="1"/>
  <c r="AL303" i="25"/>
  <c r="H303" i="25"/>
  <c r="AH303" i="25" s="1"/>
  <c r="S303" i="25"/>
  <c r="K303" i="25" s="1"/>
  <c r="AL314" i="25"/>
  <c r="H314" i="25"/>
  <c r="AH314" i="25" s="1"/>
  <c r="S314" i="25"/>
  <c r="K314" i="25" s="1"/>
  <c r="B37" i="2"/>
  <c r="B35" i="2"/>
  <c r="J67" i="23"/>
  <c r="L67" i="23" s="1"/>
  <c r="G71" i="23"/>
  <c r="H71" i="23" s="1"/>
  <c r="G17" i="23"/>
  <c r="H17" i="23" s="1"/>
  <c r="G32" i="23"/>
  <c r="H32" i="23" s="1"/>
  <c r="G54" i="23"/>
  <c r="H54" i="23" s="1"/>
  <c r="G101" i="23"/>
  <c r="H101" i="23" s="1"/>
  <c r="G30" i="23"/>
  <c r="H30" i="23" s="1"/>
  <c r="G51" i="23"/>
  <c r="H51" i="23" s="1"/>
  <c r="J103" i="23"/>
  <c r="K103" i="23" s="1"/>
  <c r="G25" i="23"/>
  <c r="H25" i="23" s="1"/>
  <c r="G80" i="23"/>
  <c r="H80" i="23" s="1"/>
  <c r="G21" i="23"/>
  <c r="H21" i="23" s="1"/>
  <c r="G105" i="23"/>
  <c r="H105" i="23" s="1"/>
  <c r="J63" i="23"/>
  <c r="L63" i="23" s="1"/>
  <c r="J88" i="23"/>
  <c r="K88" i="23" s="1"/>
  <c r="J49" i="23"/>
  <c r="K49" i="23" s="1"/>
  <c r="G92" i="23"/>
  <c r="H92" i="23" s="1"/>
  <c r="G22" i="23"/>
  <c r="H22" i="23" s="1"/>
  <c r="J20" i="23"/>
  <c r="L20" i="23" s="1"/>
  <c r="G53" i="23"/>
  <c r="H53" i="23" s="1"/>
  <c r="G73" i="23"/>
  <c r="H73" i="23" s="1"/>
  <c r="G46" i="23"/>
  <c r="H46" i="23" s="1"/>
  <c r="G6" i="23"/>
  <c r="H6" i="23" s="1"/>
  <c r="G94" i="23"/>
  <c r="H94" i="23" s="1"/>
  <c r="G90" i="23"/>
  <c r="H90" i="23" s="1"/>
  <c r="G14" i="23"/>
  <c r="H14" i="23" s="1"/>
  <c r="J60" i="23"/>
  <c r="K60" i="23" s="1"/>
  <c r="J10" i="8"/>
  <c r="B163" i="2" s="1"/>
  <c r="B227" i="2" s="1"/>
  <c r="J84" i="23"/>
  <c r="L84" i="23" s="1"/>
  <c r="G81" i="23"/>
  <c r="H81" i="23" s="1"/>
  <c r="H187" i="24"/>
  <c r="AM187" i="24"/>
  <c r="H125" i="24"/>
  <c r="AM125" i="24"/>
  <c r="H294" i="24"/>
  <c r="AM294" i="24"/>
  <c r="AM242" i="24"/>
  <c r="H242" i="24"/>
  <c r="AM174" i="24"/>
  <c r="H174" i="24"/>
  <c r="H142" i="24"/>
  <c r="AM142" i="24"/>
  <c r="H297" i="24"/>
  <c r="AM297" i="24"/>
  <c r="H265" i="24"/>
  <c r="AM265" i="24"/>
  <c r="H183" i="24"/>
  <c r="AM183" i="24"/>
  <c r="H254" i="24"/>
  <c r="AM254" i="24"/>
  <c r="AM197" i="24"/>
  <c r="H197" i="24"/>
  <c r="AM137" i="24"/>
  <c r="H137" i="24"/>
  <c r="H292" i="24"/>
  <c r="AM292" i="24"/>
  <c r="H260" i="24"/>
  <c r="AM260" i="24"/>
  <c r="H228" i="24"/>
  <c r="AM228" i="24"/>
  <c r="H298" i="24"/>
  <c r="AM298" i="24"/>
  <c r="H128" i="24"/>
  <c r="AM128" i="24"/>
  <c r="H115" i="24"/>
  <c r="AM115" i="24"/>
  <c r="AM161" i="24"/>
  <c r="H161" i="24"/>
  <c r="AM204" i="24"/>
  <c r="H204" i="24"/>
  <c r="AM188" i="24"/>
  <c r="H188" i="24"/>
  <c r="AM156" i="24"/>
  <c r="H156" i="24"/>
  <c r="H295" i="24"/>
  <c r="AM295" i="24"/>
  <c r="H263" i="24"/>
  <c r="AM263" i="24"/>
  <c r="H247" i="24"/>
  <c r="AM247" i="24"/>
  <c r="H117" i="24"/>
  <c r="AM117" i="24"/>
  <c r="H195" i="24"/>
  <c r="AM195" i="24"/>
  <c r="H207" i="24"/>
  <c r="AM207" i="24"/>
  <c r="H147" i="24"/>
  <c r="AM147" i="24"/>
  <c r="H282" i="24"/>
  <c r="AM282" i="24"/>
  <c r="AM226" i="24"/>
  <c r="H226" i="24"/>
  <c r="H186" i="24"/>
  <c r="AM186" i="24"/>
  <c r="AM170" i="24"/>
  <c r="H170" i="24"/>
  <c r="H154" i="24"/>
  <c r="AM154" i="24"/>
  <c r="AM138" i="24"/>
  <c r="H138" i="24"/>
  <c r="AM309" i="24"/>
  <c r="H309" i="24"/>
  <c r="AM293" i="24"/>
  <c r="H293" i="24"/>
  <c r="H277" i="24"/>
  <c r="AM277" i="24"/>
  <c r="AM261" i="24"/>
  <c r="H261" i="24"/>
  <c r="H245" i="24"/>
  <c r="AM245" i="24"/>
  <c r="AM229" i="24"/>
  <c r="H229" i="24"/>
  <c r="AM167" i="24"/>
  <c r="H167" i="24"/>
  <c r="AM290" i="24"/>
  <c r="H290" i="24"/>
  <c r="AM238" i="24"/>
  <c r="H238" i="24"/>
  <c r="AM190" i="24"/>
  <c r="H190" i="24"/>
  <c r="AM185" i="24"/>
  <c r="H185" i="24"/>
  <c r="AM149" i="24"/>
  <c r="H149" i="24"/>
  <c r="H133" i="24"/>
  <c r="AM133" i="24"/>
  <c r="AM304" i="24"/>
  <c r="H304" i="24"/>
  <c r="AM288" i="24"/>
  <c r="H288" i="24"/>
  <c r="H272" i="24"/>
  <c r="AM272" i="24"/>
  <c r="AM256" i="24"/>
  <c r="H256" i="24"/>
  <c r="AM240" i="24"/>
  <c r="H240" i="24"/>
  <c r="AM224" i="24"/>
  <c r="H224" i="24"/>
  <c r="AM159" i="24"/>
  <c r="H159" i="24"/>
  <c r="AM217" i="24"/>
  <c r="H217" i="24"/>
  <c r="AM286" i="24"/>
  <c r="H286" i="24"/>
  <c r="H246" i="24"/>
  <c r="AM246" i="24"/>
  <c r="AM124" i="24"/>
  <c r="H124" i="24"/>
  <c r="H112" i="24"/>
  <c r="AM112" i="24"/>
  <c r="AM205" i="24"/>
  <c r="H205" i="24"/>
  <c r="AM181" i="24"/>
  <c r="H181" i="24"/>
  <c r="H157" i="24"/>
  <c r="AM157" i="24"/>
  <c r="AM118" i="24"/>
  <c r="H118" i="24"/>
  <c r="AM200" i="24"/>
  <c r="H200" i="24"/>
  <c r="AM184" i="24"/>
  <c r="H184" i="24"/>
  <c r="H168" i="24"/>
  <c r="AM168" i="24"/>
  <c r="H152" i="24"/>
  <c r="AM152" i="24"/>
  <c r="AM136" i="24"/>
  <c r="H136" i="24"/>
  <c r="AM307" i="24"/>
  <c r="H307" i="24"/>
  <c r="AM291" i="24"/>
  <c r="H291" i="24"/>
  <c r="AM275" i="24"/>
  <c r="H275" i="24"/>
  <c r="AM259" i="24"/>
  <c r="H259" i="24"/>
  <c r="AM243" i="24"/>
  <c r="H243" i="24"/>
  <c r="H227" i="24"/>
  <c r="AM227" i="24"/>
  <c r="AM113" i="24"/>
  <c r="H113" i="24"/>
  <c r="AM163" i="24"/>
  <c r="H163" i="24"/>
  <c r="H202" i="24"/>
  <c r="AM202" i="24"/>
  <c r="AM158" i="24"/>
  <c r="H158" i="24"/>
  <c r="AM313" i="24"/>
  <c r="H313" i="24"/>
  <c r="H281" i="24"/>
  <c r="AM281" i="24"/>
  <c r="AM249" i="24"/>
  <c r="H249" i="24"/>
  <c r="H233" i="24"/>
  <c r="AM233" i="24"/>
  <c r="H306" i="24"/>
  <c r="AM306" i="24"/>
  <c r="AM198" i="24"/>
  <c r="H198" i="24"/>
  <c r="H153" i="24"/>
  <c r="AM153" i="24"/>
  <c r="H308" i="24"/>
  <c r="AM308" i="24"/>
  <c r="AM276" i="24"/>
  <c r="H276" i="24"/>
  <c r="AM244" i="24"/>
  <c r="H244" i="24"/>
  <c r="AM171" i="24"/>
  <c r="H171" i="24"/>
  <c r="H135" i="24"/>
  <c r="AM135" i="24"/>
  <c r="H258" i="24"/>
  <c r="AM258" i="24"/>
  <c r="H194" i="24"/>
  <c r="AM194" i="24"/>
  <c r="H189" i="24"/>
  <c r="AM189" i="24"/>
  <c r="AM122" i="24"/>
  <c r="H122" i="24"/>
  <c r="H172" i="24"/>
  <c r="AM172" i="24"/>
  <c r="H140" i="24"/>
  <c r="AM140" i="24"/>
  <c r="AM311" i="24"/>
  <c r="H311" i="24"/>
  <c r="AM279" i="24"/>
  <c r="H279" i="24"/>
  <c r="AM231" i="24"/>
  <c r="H231" i="24"/>
  <c r="H199" i="24"/>
  <c r="AM199" i="24"/>
  <c r="AM121" i="24"/>
  <c r="H121" i="24"/>
  <c r="H191" i="24"/>
  <c r="AM191" i="24"/>
  <c r="H131" i="24"/>
  <c r="AM131" i="24"/>
  <c r="AM262" i="24"/>
  <c r="H262" i="24"/>
  <c r="AM111" i="24"/>
  <c r="H111" i="24"/>
  <c r="AM182" i="24"/>
  <c r="H182" i="24"/>
  <c r="H166" i="24"/>
  <c r="AM166" i="24"/>
  <c r="AM150" i="24"/>
  <c r="H150" i="24"/>
  <c r="H134" i="24"/>
  <c r="AM134" i="24"/>
  <c r="AM305" i="24"/>
  <c r="H305" i="24"/>
  <c r="H289" i="24"/>
  <c r="AM289" i="24"/>
  <c r="H273" i="24"/>
  <c r="AM273" i="24"/>
  <c r="H257" i="24"/>
  <c r="AM257" i="24"/>
  <c r="H241" i="24"/>
  <c r="AM241" i="24"/>
  <c r="AM225" i="24"/>
  <c r="H225" i="24"/>
  <c r="AM155" i="24"/>
  <c r="H155" i="24"/>
  <c r="H278" i="24"/>
  <c r="AM278" i="24"/>
  <c r="AM230" i="24"/>
  <c r="H230" i="24"/>
  <c r="AM123" i="24"/>
  <c r="H123" i="24"/>
  <c r="AM173" i="24"/>
  <c r="H173" i="24"/>
  <c r="AM145" i="24"/>
  <c r="H145" i="24"/>
  <c r="AM316" i="24"/>
  <c r="H316" i="24"/>
  <c r="H300" i="24"/>
  <c r="AM300" i="24"/>
  <c r="AM284" i="24"/>
  <c r="H284" i="24"/>
  <c r="AM268" i="24"/>
  <c r="H268" i="24"/>
  <c r="AM252" i="24"/>
  <c r="H252" i="24"/>
  <c r="AM236" i="24"/>
  <c r="H236" i="24"/>
  <c r="AM220" i="24"/>
  <c r="H220" i="24"/>
  <c r="H151" i="24"/>
  <c r="AM151" i="24"/>
  <c r="H314" i="24"/>
  <c r="AM314" i="24"/>
  <c r="H274" i="24"/>
  <c r="AM274" i="24"/>
  <c r="H234" i="24"/>
  <c r="AM234" i="24"/>
  <c r="H210" i="24"/>
  <c r="AM210" i="24"/>
  <c r="H127" i="24"/>
  <c r="AM127" i="24"/>
  <c r="AM201" i="24"/>
  <c r="H201" i="24"/>
  <c r="AM177" i="24"/>
  <c r="H177" i="24"/>
  <c r="H130" i="24"/>
  <c r="AM130" i="24"/>
  <c r="H114" i="24"/>
  <c r="AM114" i="24"/>
  <c r="AM196" i="24"/>
  <c r="H196" i="24"/>
  <c r="AM180" i="24"/>
  <c r="H180" i="24"/>
  <c r="H164" i="24"/>
  <c r="AM164" i="24"/>
  <c r="AM148" i="24"/>
  <c r="H148" i="24"/>
  <c r="H132" i="24"/>
  <c r="AM132" i="24"/>
  <c r="H303" i="24"/>
  <c r="AM303" i="24"/>
  <c r="H287" i="24"/>
  <c r="AM287" i="24"/>
  <c r="AM271" i="24"/>
  <c r="H271" i="24"/>
  <c r="AM255" i="24"/>
  <c r="H255" i="24"/>
  <c r="H239" i="24"/>
  <c r="AM239" i="24"/>
  <c r="H223" i="24"/>
  <c r="AM223" i="24"/>
  <c r="H203" i="24"/>
  <c r="AM203" i="24"/>
  <c r="AM129" i="24"/>
  <c r="H129" i="24"/>
  <c r="H179" i="24"/>
  <c r="AM179" i="24"/>
  <c r="H310" i="24"/>
  <c r="AM310" i="24"/>
  <c r="H250" i="24"/>
  <c r="AM250" i="24"/>
  <c r="H120" i="24"/>
  <c r="AM120" i="24"/>
  <c r="H178" i="24"/>
  <c r="AM178" i="24"/>
  <c r="AM162" i="24"/>
  <c r="H162" i="24"/>
  <c r="H146" i="24"/>
  <c r="AM146" i="24"/>
  <c r="AM218" i="24"/>
  <c r="H218" i="24"/>
  <c r="H301" i="24"/>
  <c r="AM301" i="24"/>
  <c r="AM285" i="24"/>
  <c r="H285" i="24"/>
  <c r="H269" i="24"/>
  <c r="AM269" i="24"/>
  <c r="H253" i="24"/>
  <c r="AM253" i="24"/>
  <c r="AM237" i="24"/>
  <c r="H237" i="24"/>
  <c r="H221" i="24"/>
  <c r="AM221" i="24"/>
  <c r="AM139" i="24"/>
  <c r="H139" i="24"/>
  <c r="AM266" i="24"/>
  <c r="H266" i="24"/>
  <c r="AM116" i="24"/>
  <c r="H116" i="24"/>
  <c r="AM209" i="24"/>
  <c r="H209" i="24"/>
  <c r="AM165" i="24"/>
  <c r="H165" i="24"/>
  <c r="H141" i="24"/>
  <c r="AM141" i="24"/>
  <c r="H312" i="24"/>
  <c r="AM312" i="24"/>
  <c r="AM296" i="24"/>
  <c r="H296" i="24"/>
  <c r="H280" i="24"/>
  <c r="AM280" i="24"/>
  <c r="AM264" i="24"/>
  <c r="H264" i="24"/>
  <c r="AM248" i="24"/>
  <c r="H248" i="24"/>
  <c r="H232" i="24"/>
  <c r="AM232" i="24"/>
  <c r="H175" i="24"/>
  <c r="AM175" i="24"/>
  <c r="H143" i="24"/>
  <c r="AM143" i="24"/>
  <c r="H302" i="24"/>
  <c r="AM302" i="24"/>
  <c r="H270" i="24"/>
  <c r="AM270" i="24"/>
  <c r="AM222" i="24"/>
  <c r="H222" i="24"/>
  <c r="AM206" i="24"/>
  <c r="H206" i="24"/>
  <c r="H119" i="24"/>
  <c r="AM119" i="24"/>
  <c r="H193" i="24"/>
  <c r="AM193" i="24"/>
  <c r="AM169" i="24"/>
  <c r="H169" i="24"/>
  <c r="H126" i="24"/>
  <c r="AM126" i="24"/>
  <c r="AM208" i="24"/>
  <c r="H208" i="24"/>
  <c r="AM192" i="24"/>
  <c r="H192" i="24"/>
  <c r="AM176" i="24"/>
  <c r="H176" i="24"/>
  <c r="H160" i="24"/>
  <c r="AM160" i="24"/>
  <c r="H144" i="24"/>
  <c r="AM144" i="24"/>
  <c r="AM315" i="24"/>
  <c r="H315" i="24"/>
  <c r="AM299" i="24"/>
  <c r="H299" i="24"/>
  <c r="H283" i="24"/>
  <c r="AM283" i="24"/>
  <c r="H267" i="24"/>
  <c r="AM267" i="24"/>
  <c r="H251" i="24"/>
  <c r="AM251" i="24"/>
  <c r="H235" i="24"/>
  <c r="AM235" i="24"/>
  <c r="AM219" i="24"/>
  <c r="H219" i="24"/>
  <c r="G52" i="23"/>
  <c r="H52" i="23" s="1"/>
  <c r="G87" i="23"/>
  <c r="H87" i="23" s="1"/>
  <c r="G47" i="23"/>
  <c r="H47" i="23" s="1"/>
  <c r="G15" i="23"/>
  <c r="H15" i="23" s="1"/>
  <c r="P300" i="24"/>
  <c r="P274" i="24"/>
  <c r="P306" i="24"/>
  <c r="P227" i="24"/>
  <c r="P255" i="24"/>
  <c r="P284" i="24"/>
  <c r="P316" i="24"/>
  <c r="P237" i="24"/>
  <c r="P308" i="24"/>
  <c r="P246" i="24"/>
  <c r="P262" i="24"/>
  <c r="P294" i="24"/>
  <c r="P310" i="24"/>
  <c r="P231" i="24"/>
  <c r="P295" i="24"/>
  <c r="P292" i="24"/>
  <c r="P225" i="24"/>
  <c r="P241" i="24"/>
  <c r="P257" i="24"/>
  <c r="P289" i="24"/>
  <c r="P259" i="24"/>
  <c r="P288" i="24"/>
  <c r="P218" i="24"/>
  <c r="P266" i="24"/>
  <c r="P239" i="24"/>
  <c r="P304" i="24"/>
  <c r="P229" i="24"/>
  <c r="G34" i="23"/>
  <c r="H34" i="23" s="1"/>
  <c r="P217" i="24"/>
  <c r="P233" i="24"/>
  <c r="P249" i="24"/>
  <c r="P265" i="24"/>
  <c r="P313" i="24"/>
  <c r="P275" i="24"/>
  <c r="P303" i="24"/>
  <c r="P240" i="24"/>
  <c r="P226" i="24"/>
  <c r="P242" i="24"/>
  <c r="P258" i="24"/>
  <c r="P290" i="24"/>
  <c r="P287" i="24"/>
  <c r="P220" i="24"/>
  <c r="P252" i="24"/>
  <c r="P269" i="24"/>
  <c r="P301" i="24"/>
  <c r="P251" i="24"/>
  <c r="P283" i="24"/>
  <c r="P311" i="24"/>
  <c r="P248" i="24"/>
  <c r="P230" i="24"/>
  <c r="P278" i="24"/>
  <c r="P263" i="24"/>
  <c r="P228" i="24"/>
  <c r="P260" i="24"/>
  <c r="P293" i="24"/>
  <c r="P281" i="24"/>
  <c r="P297" i="24"/>
  <c r="P243" i="24"/>
  <c r="P272" i="24"/>
  <c r="P221" i="24"/>
  <c r="P253" i="24"/>
  <c r="P285" i="24"/>
  <c r="P280" i="24"/>
  <c r="P256" i="24"/>
  <c r="P277" i="24"/>
  <c r="P309" i="24"/>
  <c r="P235" i="24"/>
  <c r="P296" i="24"/>
  <c r="P222" i="24"/>
  <c r="P286" i="24"/>
  <c r="P302" i="24"/>
  <c r="P247" i="24"/>
  <c r="P244" i="24"/>
  <c r="P276" i="24"/>
  <c r="P312" i="24"/>
  <c r="P273" i="24"/>
  <c r="P305" i="24"/>
  <c r="P219" i="24"/>
  <c r="P291" i="24"/>
  <c r="P224" i="24"/>
  <c r="P234" i="24"/>
  <c r="P250" i="24"/>
  <c r="P282" i="24"/>
  <c r="P298" i="24"/>
  <c r="P314" i="24"/>
  <c r="P271" i="24"/>
  <c r="P307" i="24"/>
  <c r="P236" i="24"/>
  <c r="P268" i="24"/>
  <c r="P245" i="24"/>
  <c r="P261" i="24"/>
  <c r="P267" i="24"/>
  <c r="P299" i="24"/>
  <c r="P232" i="24"/>
  <c r="P264" i="24"/>
  <c r="P238" i="24"/>
  <c r="P254" i="24"/>
  <c r="P270" i="24"/>
  <c r="P223" i="24"/>
  <c r="P279" i="24"/>
  <c r="P315" i="24"/>
  <c r="AM104" i="24"/>
  <c r="AM40" i="24"/>
  <c r="AM95" i="24"/>
  <c r="AM31" i="24"/>
  <c r="AM81" i="24"/>
  <c r="AM58" i="24"/>
  <c r="AM10" i="24"/>
  <c r="AM65" i="24"/>
  <c r="AM100" i="24"/>
  <c r="AM36" i="24"/>
  <c r="AM37" i="24"/>
  <c r="AM43" i="24"/>
  <c r="AM69" i="24"/>
  <c r="AM54" i="24"/>
  <c r="AM22" i="24"/>
  <c r="AM85" i="24"/>
  <c r="AM49" i="24"/>
  <c r="AM25" i="24"/>
  <c r="AM9" i="24"/>
  <c r="AM92" i="24"/>
  <c r="AM76" i="24"/>
  <c r="AM60" i="24"/>
  <c r="AM44" i="24"/>
  <c r="AM28" i="24"/>
  <c r="AM12" i="24"/>
  <c r="AM73" i="24"/>
  <c r="AM99" i="24"/>
  <c r="AM83" i="24"/>
  <c r="AM67" i="24"/>
  <c r="AM51" i="24"/>
  <c r="AM35" i="24"/>
  <c r="AM19" i="24"/>
  <c r="AM93" i="24"/>
  <c r="AM41" i="24"/>
  <c r="AM94" i="24"/>
  <c r="AM78" i="24"/>
  <c r="AM62" i="24"/>
  <c r="AM46" i="24"/>
  <c r="AM30" i="24"/>
  <c r="AM14" i="24"/>
  <c r="AM77" i="24"/>
  <c r="AM88" i="24"/>
  <c r="AM56" i="24"/>
  <c r="AM61" i="24"/>
  <c r="AM63" i="24"/>
  <c r="AM42" i="24"/>
  <c r="AM17" i="24"/>
  <c r="AM68" i="24"/>
  <c r="AM101" i="24"/>
  <c r="AM75" i="24"/>
  <c r="AM11" i="24"/>
  <c r="AM70" i="24"/>
  <c r="AM45" i="24"/>
  <c r="AM21" i="24"/>
  <c r="AM72" i="24"/>
  <c r="AM24" i="24"/>
  <c r="AM8" i="24"/>
  <c r="AM79" i="24"/>
  <c r="AM47" i="24"/>
  <c r="AM15" i="24"/>
  <c r="AM90" i="24"/>
  <c r="AM74" i="24"/>
  <c r="AM26" i="24"/>
  <c r="AM105" i="24"/>
  <c r="AM33" i="24"/>
  <c r="AM84" i="24"/>
  <c r="AM52" i="24"/>
  <c r="AM20" i="24"/>
  <c r="AM91" i="24"/>
  <c r="AM59" i="24"/>
  <c r="AM27" i="24"/>
  <c r="AM102" i="24"/>
  <c r="AM86" i="24"/>
  <c r="AM38" i="24"/>
  <c r="AM6" i="24"/>
  <c r="AM97" i="24"/>
  <c r="AM57" i="24"/>
  <c r="AM29" i="24"/>
  <c r="AM13" i="24"/>
  <c r="AM96" i="24"/>
  <c r="AM80" i="24"/>
  <c r="AM64" i="24"/>
  <c r="AM48" i="24"/>
  <c r="AM32" i="24"/>
  <c r="AM16" i="24"/>
  <c r="AM89" i="24"/>
  <c r="AM103" i="24"/>
  <c r="AM87" i="24"/>
  <c r="AM71" i="24"/>
  <c r="AM55" i="24"/>
  <c r="AM39" i="24"/>
  <c r="AM23" i="24"/>
  <c r="AM7" i="24"/>
  <c r="AM53" i="24"/>
  <c r="AM98" i="24"/>
  <c r="AM82" i="24"/>
  <c r="AM66" i="24"/>
  <c r="AM50" i="24"/>
  <c r="AM34" i="24"/>
  <c r="AM18" i="24"/>
  <c r="Q34" i="23"/>
  <c r="Q44" i="23"/>
  <c r="Q106" i="23"/>
  <c r="Q14" i="23"/>
  <c r="Q81" i="23"/>
  <c r="Q91" i="23"/>
  <c r="Q6" i="23"/>
  <c r="Q48" i="23"/>
  <c r="Q82" i="23"/>
  <c r="Q93" i="23"/>
  <c r="Q22" i="23"/>
  <c r="Q99" i="23"/>
  <c r="Q42" i="23"/>
  <c r="Q35" i="23"/>
  <c r="H49" i="24"/>
  <c r="H92" i="24"/>
  <c r="H28" i="24"/>
  <c r="H67" i="24"/>
  <c r="H19" i="24"/>
  <c r="H94" i="24"/>
  <c r="H46" i="24"/>
  <c r="H30" i="24"/>
  <c r="Q9" i="23"/>
  <c r="Q78" i="23"/>
  <c r="Q75" i="23"/>
  <c r="Q88" i="23"/>
  <c r="Q63" i="23"/>
  <c r="Q101" i="23"/>
  <c r="Q29" i="23"/>
  <c r="Q98" i="23"/>
  <c r="Q19" i="23"/>
  <c r="Q12" i="23"/>
  <c r="Q89" i="23"/>
  <c r="Q33" i="23"/>
  <c r="Q38" i="23"/>
  <c r="Q102" i="23"/>
  <c r="Q27" i="23"/>
  <c r="Q95" i="23"/>
  <c r="Q37" i="23"/>
  <c r="Q58" i="23"/>
  <c r="Q7" i="23"/>
  <c r="Q28" i="23"/>
  <c r="Q47" i="23"/>
  <c r="J24" i="23"/>
  <c r="K24" i="23" s="1"/>
  <c r="J97" i="23"/>
  <c r="K97" i="23" s="1"/>
  <c r="H77" i="24"/>
  <c r="H45" i="24"/>
  <c r="H21" i="24"/>
  <c r="H104" i="24"/>
  <c r="H88" i="24"/>
  <c r="H72" i="24"/>
  <c r="H56" i="24"/>
  <c r="H40" i="24"/>
  <c r="H24" i="24"/>
  <c r="H8" i="24"/>
  <c r="H61" i="24"/>
  <c r="H95" i="24"/>
  <c r="H79" i="24"/>
  <c r="H63" i="24"/>
  <c r="H47" i="24"/>
  <c r="H31" i="24"/>
  <c r="H15" i="24"/>
  <c r="H81" i="24"/>
  <c r="H5" i="24"/>
  <c r="BY5" i="24" s="1"/>
  <c r="H90" i="24"/>
  <c r="H74" i="24"/>
  <c r="H58" i="24"/>
  <c r="H42" i="24"/>
  <c r="H26" i="24"/>
  <c r="H10" i="24"/>
  <c r="Q23" i="23"/>
  <c r="Q59" i="23"/>
  <c r="Q13" i="23"/>
  <c r="Q76" i="23"/>
  <c r="Q17" i="23"/>
  <c r="Q96" i="23"/>
  <c r="Q21" i="23"/>
  <c r="Q87" i="23"/>
  <c r="H25" i="24"/>
  <c r="H76" i="24"/>
  <c r="H12" i="24"/>
  <c r="H99" i="24"/>
  <c r="H35" i="24"/>
  <c r="H41" i="24"/>
  <c r="H62" i="24"/>
  <c r="H14" i="24"/>
  <c r="Q94" i="23"/>
  <c r="Q71" i="23"/>
  <c r="Q84" i="23"/>
  <c r="Q24" i="23"/>
  <c r="Q97" i="23"/>
  <c r="Q54" i="23"/>
  <c r="Q103" i="23"/>
  <c r="Q20" i="23"/>
  <c r="Q31" i="23"/>
  <c r="Q10" i="23"/>
  <c r="Q40" i="23"/>
  <c r="Q64" i="23"/>
  <c r="Q61" i="23"/>
  <c r="Q57" i="23"/>
  <c r="H105" i="24"/>
  <c r="H65" i="24"/>
  <c r="H33" i="24"/>
  <c r="H17" i="24"/>
  <c r="H100" i="24"/>
  <c r="H84" i="24"/>
  <c r="H68" i="24"/>
  <c r="H52" i="24"/>
  <c r="H36" i="24"/>
  <c r="H20" i="24"/>
  <c r="H101" i="24"/>
  <c r="H37" i="24"/>
  <c r="H91" i="24"/>
  <c r="H75" i="24"/>
  <c r="H59" i="24"/>
  <c r="H43" i="24"/>
  <c r="H27" i="24"/>
  <c r="H11" i="24"/>
  <c r="H69" i="24"/>
  <c r="H102" i="24"/>
  <c r="H86" i="24"/>
  <c r="H70" i="24"/>
  <c r="H54" i="24"/>
  <c r="H38" i="24"/>
  <c r="H22" i="24"/>
  <c r="H6" i="24"/>
  <c r="Q62" i="23"/>
  <c r="Q67" i="23"/>
  <c r="Q36" i="23"/>
  <c r="Q85" i="23"/>
  <c r="Q68" i="23"/>
  <c r="Q86" i="23"/>
  <c r="Q73" i="23"/>
  <c r="Q104" i="23"/>
  <c r="Q100" i="23"/>
  <c r="H85" i="24"/>
  <c r="H9" i="24"/>
  <c r="H60" i="24"/>
  <c r="H44" i="24"/>
  <c r="H73" i="24"/>
  <c r="H83" i="24"/>
  <c r="H51" i="24"/>
  <c r="H93" i="24"/>
  <c r="H78" i="24"/>
  <c r="Q25" i="23"/>
  <c r="Q30" i="23"/>
  <c r="Q11" i="23"/>
  <c r="Q45" i="23"/>
  <c r="Q50" i="23"/>
  <c r="Q51" i="23"/>
  <c r="Q15" i="23"/>
  <c r="Q49" i="23"/>
  <c r="Q32" i="23"/>
  <c r="Q56" i="23"/>
  <c r="Q74" i="23"/>
  <c r="G82" i="23"/>
  <c r="H82" i="23" s="1"/>
  <c r="G102" i="23"/>
  <c r="H102" i="23" s="1"/>
  <c r="G13" i="23"/>
  <c r="H13" i="23" s="1"/>
  <c r="G104" i="23"/>
  <c r="H104" i="23" s="1"/>
  <c r="Q41" i="23"/>
  <c r="Q46" i="23"/>
  <c r="Q16" i="23"/>
  <c r="Q92" i="23"/>
  <c r="Q43" i="23"/>
  <c r="Q105" i="23"/>
  <c r="Q18" i="23"/>
  <c r="Q66" i="23"/>
  <c r="Q55" i="23"/>
  <c r="Q39" i="23"/>
  <c r="Q72" i="23"/>
  <c r="Q69" i="23"/>
  <c r="Q70" i="23"/>
  <c r="Q60" i="23"/>
  <c r="Q53" i="23"/>
  <c r="Q77" i="23"/>
  <c r="Q52" i="23"/>
  <c r="Q80" i="23"/>
  <c r="Q26" i="23"/>
  <c r="Q90" i="23"/>
  <c r="Q65" i="23"/>
  <c r="Q8" i="23"/>
  <c r="Q83" i="23"/>
  <c r="Q79" i="23"/>
  <c r="H97" i="24"/>
  <c r="H57" i="24"/>
  <c r="H29" i="24"/>
  <c r="H13" i="24"/>
  <c r="H96" i="24"/>
  <c r="H80" i="24"/>
  <c r="H64" i="24"/>
  <c r="H48" i="24"/>
  <c r="H32" i="24"/>
  <c r="H16" i="24"/>
  <c r="H89" i="24"/>
  <c r="H103" i="24"/>
  <c r="H87" i="24"/>
  <c r="H71" i="24"/>
  <c r="H55" i="24"/>
  <c r="H39" i="24"/>
  <c r="H23" i="24"/>
  <c r="H7" i="24"/>
  <c r="H53" i="24"/>
  <c r="H98" i="24"/>
  <c r="H82" i="24"/>
  <c r="H66" i="24"/>
  <c r="H50" i="24"/>
  <c r="H34" i="24"/>
  <c r="H18" i="24"/>
  <c r="G85" i="23"/>
  <c r="H85" i="23" s="1"/>
  <c r="J83" i="23"/>
  <c r="L83" i="23" s="1"/>
  <c r="G12" i="23"/>
  <c r="H12" i="23" s="1"/>
  <c r="J65" i="23"/>
  <c r="L65" i="23" s="1"/>
  <c r="G61" i="23"/>
  <c r="H61" i="23" s="1"/>
  <c r="J58" i="23"/>
  <c r="L58" i="23" s="1"/>
  <c r="J100" i="23"/>
  <c r="K100" i="23" s="1"/>
  <c r="G26" i="23"/>
  <c r="H26" i="23" s="1"/>
  <c r="G91" i="23"/>
  <c r="H91" i="23" s="1"/>
  <c r="G40" i="23"/>
  <c r="H40" i="23" s="1"/>
  <c r="G55" i="23"/>
  <c r="H55" i="23" s="1"/>
  <c r="J74" i="23"/>
  <c r="L74" i="23" s="1"/>
  <c r="G35" i="23"/>
  <c r="H35" i="23" s="1"/>
  <c r="G68" i="23"/>
  <c r="H68" i="23" s="1"/>
  <c r="G29" i="23"/>
  <c r="H29" i="23" s="1"/>
  <c r="J72" i="23"/>
  <c r="K72" i="23" s="1"/>
  <c r="G45" i="23"/>
  <c r="H45" i="23" s="1"/>
  <c r="J66" i="23"/>
  <c r="L66" i="23" s="1"/>
  <c r="J95" i="23"/>
  <c r="K95" i="23" s="1"/>
  <c r="J93" i="23"/>
  <c r="L93" i="23" s="1"/>
  <c r="J42" i="23"/>
  <c r="L42" i="23" s="1"/>
  <c r="J57" i="23"/>
  <c r="K57" i="23" s="1"/>
  <c r="G37" i="23"/>
  <c r="H37" i="23" s="1"/>
  <c r="G50" i="23"/>
  <c r="H50" i="23" s="1"/>
  <c r="G64" i="23"/>
  <c r="H64" i="23" s="1"/>
  <c r="G18" i="23"/>
  <c r="H18" i="23" s="1"/>
  <c r="G10" i="23"/>
  <c r="H10" i="23" s="1"/>
  <c r="G28" i="23"/>
  <c r="H28" i="23" s="1"/>
  <c r="G8" i="23"/>
  <c r="H8" i="23" s="1"/>
  <c r="G19" i="23"/>
  <c r="H19" i="23" s="1"/>
  <c r="K26" i="23"/>
  <c r="L26" i="23"/>
  <c r="K44" i="23"/>
  <c r="L44" i="23"/>
  <c r="K102" i="23"/>
  <c r="L102" i="23"/>
  <c r="L56" i="23"/>
  <c r="K56" i="23"/>
  <c r="L35" i="23"/>
  <c r="K35" i="23"/>
  <c r="K13" i="23"/>
  <c r="L13" i="23"/>
  <c r="K30" i="23"/>
  <c r="L30" i="23"/>
  <c r="K73" i="23"/>
  <c r="L73" i="23"/>
  <c r="L16" i="23"/>
  <c r="K16" i="23"/>
  <c r="L43" i="23"/>
  <c r="K43" i="23"/>
  <c r="K33" i="23"/>
  <c r="L33" i="23"/>
  <c r="K92" i="23"/>
  <c r="L92" i="23"/>
  <c r="L59" i="23"/>
  <c r="K59" i="23"/>
  <c r="L104" i="23"/>
  <c r="K104" i="23"/>
  <c r="L47" i="23"/>
  <c r="K47" i="23"/>
  <c r="K45" i="23"/>
  <c r="L45" i="23"/>
  <c r="K101" i="23"/>
  <c r="L101" i="23"/>
  <c r="K37" i="23"/>
  <c r="L37" i="23"/>
  <c r="L79" i="23"/>
  <c r="K79" i="23"/>
  <c r="K22" i="23"/>
  <c r="L22" i="23"/>
  <c r="L12" i="23"/>
  <c r="K12" i="23"/>
  <c r="L39" i="23"/>
  <c r="K39" i="23"/>
  <c r="K21" i="23"/>
  <c r="L21" i="23"/>
  <c r="L75" i="23"/>
  <c r="K75" i="23"/>
  <c r="K17" i="23"/>
  <c r="L17" i="23"/>
  <c r="L71" i="23"/>
  <c r="K71" i="23"/>
  <c r="K69" i="23"/>
  <c r="L69" i="23"/>
  <c r="K9" i="23"/>
  <c r="L9" i="23"/>
  <c r="K29" i="23"/>
  <c r="L29" i="23"/>
  <c r="K14" i="23"/>
  <c r="L14" i="23"/>
  <c r="K53" i="23"/>
  <c r="L53" i="23"/>
  <c r="L55" i="23"/>
  <c r="K55" i="23"/>
  <c r="L51" i="23"/>
  <c r="K51" i="23"/>
  <c r="K41" i="23"/>
  <c r="L41" i="23"/>
  <c r="L96" i="23"/>
  <c r="K96" i="23"/>
  <c r="K82" i="23"/>
  <c r="L82" i="23"/>
  <c r="K50" i="23"/>
  <c r="L50" i="23"/>
  <c r="L6" i="23"/>
  <c r="K6" i="23"/>
  <c r="K61" i="23"/>
  <c r="L61" i="23"/>
  <c r="L7" i="23"/>
  <c r="K7" i="23"/>
  <c r="L87" i="23"/>
  <c r="K87" i="23"/>
  <c r="K85" i="23"/>
  <c r="L85" i="23"/>
  <c r="K25" i="23"/>
  <c r="L25" i="23"/>
  <c r="L91" i="23"/>
  <c r="K91" i="23"/>
  <c r="K38" i="23"/>
  <c r="L38" i="23"/>
  <c r="K81" i="23"/>
  <c r="L81" i="23"/>
  <c r="L31" i="23"/>
  <c r="K31" i="23"/>
  <c r="K106" i="23"/>
  <c r="L106" i="23"/>
  <c r="L80" i="23"/>
  <c r="K80" i="23"/>
  <c r="L8" i="23"/>
  <c r="K8" i="23"/>
  <c r="K54" i="23"/>
  <c r="L54" i="23"/>
  <c r="K28" i="23"/>
  <c r="L28" i="23"/>
  <c r="K70" i="23"/>
  <c r="L70" i="23"/>
  <c r="L40" i="23"/>
  <c r="K40" i="23"/>
  <c r="L19" i="23"/>
  <c r="K19" i="23"/>
  <c r="K78" i="23"/>
  <c r="L78" i="23"/>
  <c r="K68" i="23"/>
  <c r="L68" i="23"/>
  <c r="L15" i="23"/>
  <c r="K15" i="23"/>
  <c r="L64" i="23"/>
  <c r="K64" i="23"/>
  <c r="L27" i="23"/>
  <c r="K27" i="23"/>
  <c r="K76" i="23"/>
  <c r="L76" i="23"/>
  <c r="L99" i="23"/>
  <c r="K99" i="23"/>
  <c r="K46" i="23"/>
  <c r="L46" i="23"/>
  <c r="K89" i="23"/>
  <c r="L89" i="23"/>
  <c r="K94" i="23"/>
  <c r="L94" i="23"/>
  <c r="K52" i="23"/>
  <c r="L52" i="23"/>
  <c r="L48" i="23"/>
  <c r="K48" i="23"/>
  <c r="L11" i="23"/>
  <c r="K11" i="23"/>
  <c r="K62" i="23"/>
  <c r="L62" i="23"/>
  <c r="L23" i="23"/>
  <c r="K23" i="23"/>
  <c r="K86" i="23"/>
  <c r="L86" i="23"/>
  <c r="K10" i="23"/>
  <c r="L10" i="23"/>
  <c r="K36" i="23"/>
  <c r="L36" i="23"/>
  <c r="K105" i="23"/>
  <c r="L105" i="23"/>
  <c r="L32" i="23"/>
  <c r="K32" i="23"/>
  <c r="K18" i="23"/>
  <c r="L18" i="23"/>
  <c r="K98" i="23"/>
  <c r="L98" i="23"/>
  <c r="K90" i="23"/>
  <c r="L90" i="23"/>
  <c r="K34" i="23"/>
  <c r="L34" i="23"/>
  <c r="C237" i="2"/>
  <c r="B237" i="2"/>
  <c r="B153" i="2"/>
  <c r="A196" i="2"/>
  <c r="F237" i="2"/>
  <c r="B238" i="2"/>
  <c r="H238" i="2"/>
  <c r="C43" i="16" s="1"/>
  <c r="F150" i="2"/>
  <c r="E38" i="1" s="1"/>
  <c r="A197" i="2" s="1"/>
  <c r="G150" i="2"/>
  <c r="G238" i="2"/>
  <c r="C238" i="2"/>
  <c r="A238" i="2" s="1"/>
  <c r="B152" i="2"/>
  <c r="AO2" i="19"/>
  <c r="H241" i="2"/>
  <c r="F241" i="2"/>
  <c r="K48" i="16"/>
  <c r="M48" i="16" s="1"/>
  <c r="B203" i="2"/>
  <c r="A203" i="2"/>
  <c r="E30" i="1"/>
  <c r="A2" i="21"/>
  <c r="K48" i="2"/>
  <c r="G89" i="19"/>
  <c r="G64" i="19"/>
  <c r="G65" i="19"/>
  <c r="G90" i="19"/>
  <c r="G91" i="19"/>
  <c r="AY106" i="19"/>
  <c r="G66" i="19"/>
  <c r="BN106" i="19"/>
  <c r="B38" i="2" l="1"/>
  <c r="D38" i="2" s="1"/>
  <c r="CE130" i="25"/>
  <c r="CE125" i="25"/>
  <c r="CE204" i="25"/>
  <c r="CE124" i="25"/>
  <c r="CE127" i="25"/>
  <c r="CE123" i="25"/>
  <c r="CE160" i="25"/>
  <c r="CE112" i="25"/>
  <c r="CE114" i="25"/>
  <c r="CE208" i="25"/>
  <c r="CE190" i="25"/>
  <c r="CE117" i="25"/>
  <c r="CE134" i="25"/>
  <c r="CE169" i="25"/>
  <c r="CE137" i="25"/>
  <c r="CE209" i="25"/>
  <c r="CE141" i="25"/>
  <c r="CE196" i="25"/>
  <c r="CE140" i="25"/>
  <c r="CE122" i="25"/>
  <c r="CE126" i="25"/>
  <c r="CE156" i="25"/>
  <c r="CE207" i="25"/>
  <c r="CE175" i="25"/>
  <c r="CE128" i="25"/>
  <c r="CE120" i="25"/>
  <c r="CE133" i="25"/>
  <c r="CE116" i="25"/>
  <c r="CE138" i="25"/>
  <c r="CE185" i="25"/>
  <c r="CE153" i="25"/>
  <c r="CE119" i="25"/>
  <c r="CE139" i="25"/>
  <c r="CE210" i="25"/>
  <c r="CE152" i="25"/>
  <c r="CE115" i="25"/>
  <c r="CE155" i="25"/>
  <c r="CE181" i="25"/>
  <c r="CE111" i="25"/>
  <c r="CE131" i="25"/>
  <c r="CE118" i="25"/>
  <c r="CE113" i="25"/>
  <c r="BY195" i="24"/>
  <c r="BY200" i="25"/>
  <c r="BY188" i="25"/>
  <c r="BY124" i="25"/>
  <c r="BY160" i="25"/>
  <c r="BY198" i="25"/>
  <c r="BY203" i="25"/>
  <c r="BY171" i="25"/>
  <c r="BY155" i="25"/>
  <c r="BY123" i="25"/>
  <c r="BY150" i="25"/>
  <c r="BY134" i="25"/>
  <c r="BY209" i="25"/>
  <c r="BY177" i="25"/>
  <c r="BY145" i="25"/>
  <c r="BY113" i="25"/>
  <c r="BY171" i="24"/>
  <c r="BY185" i="24"/>
  <c r="BY156" i="24"/>
  <c r="BY180" i="25"/>
  <c r="BY194" i="25"/>
  <c r="BY144" i="25"/>
  <c r="BY190" i="25"/>
  <c r="BY136" i="25"/>
  <c r="BY199" i="25"/>
  <c r="BY183" i="25"/>
  <c r="BY167" i="25"/>
  <c r="BY135" i="25"/>
  <c r="BY119" i="25"/>
  <c r="BY178" i="25"/>
  <c r="BY162" i="25"/>
  <c r="BY130" i="25"/>
  <c r="BY114" i="25"/>
  <c r="BY189" i="25"/>
  <c r="BY157" i="25"/>
  <c r="BY141" i="25"/>
  <c r="BY172" i="25"/>
  <c r="BY116" i="25"/>
  <c r="BY151" i="25"/>
  <c r="BY146" i="25"/>
  <c r="BY205" i="25"/>
  <c r="BY173" i="25"/>
  <c r="BY125" i="25"/>
  <c r="BY132" i="25"/>
  <c r="BY202" i="25"/>
  <c r="BY140" i="25"/>
  <c r="BY152" i="25"/>
  <c r="BY187" i="25"/>
  <c r="BY139" i="25"/>
  <c r="BY166" i="25"/>
  <c r="BY118" i="25"/>
  <c r="BY193" i="25"/>
  <c r="BY161" i="25"/>
  <c r="BY129" i="25"/>
  <c r="BY204" i="25"/>
  <c r="BY164" i="25"/>
  <c r="BY192" i="25"/>
  <c r="BY186" i="25"/>
  <c r="BY128" i="25"/>
  <c r="BY208" i="25"/>
  <c r="BY182" i="25"/>
  <c r="BY120" i="25"/>
  <c r="BY195" i="25"/>
  <c r="BY179" i="25"/>
  <c r="BY163" i="25"/>
  <c r="BY147" i="25"/>
  <c r="BY131" i="25"/>
  <c r="BY115" i="25"/>
  <c r="BY174" i="25"/>
  <c r="BY158" i="25"/>
  <c r="BY142" i="25"/>
  <c r="BY126" i="25"/>
  <c r="BY201" i="25"/>
  <c r="BY185" i="25"/>
  <c r="BY169" i="25"/>
  <c r="BY153" i="25"/>
  <c r="BY137" i="25"/>
  <c r="BY121" i="25"/>
  <c r="Q210" i="24"/>
  <c r="BY196" i="25"/>
  <c r="BY148" i="25"/>
  <c r="BY156" i="25"/>
  <c r="BY210" i="25"/>
  <c r="BY176" i="25"/>
  <c r="BY112" i="25"/>
  <c r="BY184" i="25"/>
  <c r="BY206" i="25"/>
  <c r="BY168" i="25"/>
  <c r="BY207" i="25"/>
  <c r="BY191" i="25"/>
  <c r="BY175" i="25"/>
  <c r="BY159" i="25"/>
  <c r="BY143" i="25"/>
  <c r="BY127" i="25"/>
  <c r="BY111" i="25"/>
  <c r="BY170" i="25"/>
  <c r="BY154" i="25"/>
  <c r="BY138" i="25"/>
  <c r="BY122" i="25"/>
  <c r="BY197" i="25"/>
  <c r="BY181" i="25"/>
  <c r="BY165" i="25"/>
  <c r="BY149" i="25"/>
  <c r="BY133" i="25"/>
  <c r="BY117" i="25"/>
  <c r="BY110" i="25"/>
  <c r="BY130" i="24"/>
  <c r="BY133" i="24"/>
  <c r="BY139" i="24"/>
  <c r="BY158" i="24"/>
  <c r="BY190" i="24"/>
  <c r="BY174" i="24"/>
  <c r="BY151" i="24"/>
  <c r="BY166" i="24"/>
  <c r="BY117" i="24"/>
  <c r="BY114" i="24"/>
  <c r="BY147" i="24"/>
  <c r="BY146" i="24"/>
  <c r="BY120" i="24"/>
  <c r="BY153" i="24"/>
  <c r="BY144" i="24"/>
  <c r="BY168" i="24"/>
  <c r="BY209" i="24"/>
  <c r="BY113" i="24"/>
  <c r="BY204" i="24"/>
  <c r="BY193" i="24"/>
  <c r="BY143" i="24"/>
  <c r="BY132" i="24"/>
  <c r="BY189" i="24"/>
  <c r="BY176" i="24"/>
  <c r="BY198" i="24"/>
  <c r="BY191" i="24"/>
  <c r="J253" i="24"/>
  <c r="X253" i="24" s="1"/>
  <c r="AA253" i="24" s="1"/>
  <c r="AB253" i="24" s="1"/>
  <c r="AC253" i="24" s="1"/>
  <c r="J190" i="24"/>
  <c r="AI190" i="24" s="1"/>
  <c r="O254" i="24"/>
  <c r="J305" i="24"/>
  <c r="X305" i="24" s="1"/>
  <c r="AA305" i="24" s="1"/>
  <c r="AB305" i="24" s="1"/>
  <c r="AC305" i="24" s="1"/>
  <c r="O223" i="24"/>
  <c r="J277" i="24"/>
  <c r="AE277" i="24" s="1"/>
  <c r="O243" i="24"/>
  <c r="O285" i="24"/>
  <c r="O251" i="24"/>
  <c r="O218" i="24"/>
  <c r="O279" i="24"/>
  <c r="J130" i="24"/>
  <c r="AI130" i="24" s="1"/>
  <c r="J282" i="24"/>
  <c r="AE282" i="24" s="1"/>
  <c r="J280" i="24"/>
  <c r="AE280" i="24" s="1"/>
  <c r="O307" i="24"/>
  <c r="J260" i="24"/>
  <c r="W260" i="24" s="1"/>
  <c r="Y260" i="24" s="1"/>
  <c r="O236" i="24"/>
  <c r="J171" i="24"/>
  <c r="AI171" i="24" s="1"/>
  <c r="J193" i="24"/>
  <c r="AI193" i="24" s="1"/>
  <c r="J147" i="24"/>
  <c r="AI147" i="24" s="1"/>
  <c r="J158" i="24"/>
  <c r="AI158" i="24" s="1"/>
  <c r="O219" i="24"/>
  <c r="O200" i="24"/>
  <c r="BY200" i="24" s="1"/>
  <c r="J265" i="24"/>
  <c r="AI265" i="24" s="1"/>
  <c r="J191" i="24"/>
  <c r="AI191" i="24" s="1"/>
  <c r="O173" i="24"/>
  <c r="BY173" i="24" s="1"/>
  <c r="O309" i="24"/>
  <c r="O287" i="24"/>
  <c r="J311" i="24"/>
  <c r="X311" i="24" s="1"/>
  <c r="AA311" i="24" s="1"/>
  <c r="AB311" i="24" s="1"/>
  <c r="AC311" i="24" s="1"/>
  <c r="J283" i="24"/>
  <c r="AE283" i="24" s="1"/>
  <c r="J248" i="24"/>
  <c r="AE248" i="24" s="1"/>
  <c r="O288" i="24"/>
  <c r="O247" i="24"/>
  <c r="J132" i="24"/>
  <c r="AI132" i="24" s="1"/>
  <c r="O302" i="24"/>
  <c r="J312" i="24"/>
  <c r="W312" i="24" s="1"/>
  <c r="J290" i="24"/>
  <c r="AI290" i="24" s="1"/>
  <c r="J226" i="24"/>
  <c r="AI226" i="24" s="1"/>
  <c r="O274" i="24"/>
  <c r="O221" i="24"/>
  <c r="O224" i="24"/>
  <c r="O245" i="24"/>
  <c r="O197" i="24"/>
  <c r="BY197" i="24" s="1"/>
  <c r="O202" i="24"/>
  <c r="BY202" i="24" s="1"/>
  <c r="J289" i="24"/>
  <c r="W289" i="24" s="1"/>
  <c r="Y289" i="24" s="1"/>
  <c r="O275" i="24"/>
  <c r="J244" i="24"/>
  <c r="W244" i="24" s="1"/>
  <c r="O227" i="24"/>
  <c r="J257" i="24"/>
  <c r="W257" i="24" s="1"/>
  <c r="Y257" i="24" s="1"/>
  <c r="O240" i="24"/>
  <c r="J299" i="24"/>
  <c r="AI299" i="24" s="1"/>
  <c r="J143" i="24"/>
  <c r="AI143" i="24" s="1"/>
  <c r="J185" i="24"/>
  <c r="AI185" i="24" s="1"/>
  <c r="O235" i="24"/>
  <c r="J176" i="24"/>
  <c r="AI176" i="24" s="1"/>
  <c r="J139" i="24"/>
  <c r="AI139" i="24" s="1"/>
  <c r="O310" i="24"/>
  <c r="O135" i="24"/>
  <c r="BY135" i="24" s="1"/>
  <c r="O180" i="24"/>
  <c r="BY180" i="24" s="1"/>
  <c r="O314" i="24"/>
  <c r="J278" i="24"/>
  <c r="X278" i="24" s="1"/>
  <c r="AA278" i="24" s="1"/>
  <c r="AB278" i="24" s="1"/>
  <c r="AC278" i="24" s="1"/>
  <c r="J262" i="24"/>
  <c r="AE262" i="24" s="1"/>
  <c r="J291" i="24"/>
  <c r="AI291" i="24" s="1"/>
  <c r="O138" i="24"/>
  <c r="BY138" i="24" s="1"/>
  <c r="J237" i="24"/>
  <c r="X237" i="24" s="1"/>
  <c r="AA237" i="24" s="1"/>
  <c r="AB237" i="24" s="1"/>
  <c r="AC237" i="24" s="1"/>
  <c r="O301" i="24"/>
  <c r="O304" i="24"/>
  <c r="J195" i="24"/>
  <c r="AE195" i="24" s="1"/>
  <c r="J198" i="24"/>
  <c r="AI198" i="24" s="1"/>
  <c r="J217" i="24"/>
  <c r="X217" i="24" s="1"/>
  <c r="AA217" i="24" s="1"/>
  <c r="AB217" i="24" s="1"/>
  <c r="AC217" i="24" s="1"/>
  <c r="O140" i="24"/>
  <c r="BY140" i="24" s="1"/>
  <c r="J261" i="24"/>
  <c r="AE261" i="24" s="1"/>
  <c r="O264" i="24"/>
  <c r="O164" i="24"/>
  <c r="BY164" i="24" s="1"/>
  <c r="O234" i="24"/>
  <c r="O220" i="24"/>
  <c r="O118" i="24"/>
  <c r="BY118" i="24" s="1"/>
  <c r="J281" i="24"/>
  <c r="X281" i="24" s="1"/>
  <c r="AA281" i="24" s="1"/>
  <c r="AB281" i="24" s="1"/>
  <c r="AC281" i="24" s="1"/>
  <c r="O315" i="24"/>
  <c r="O126" i="24"/>
  <c r="BY126" i="24" s="1"/>
  <c r="O222" i="24"/>
  <c r="O297" i="24"/>
  <c r="O124" i="24"/>
  <c r="BY124" i="24" s="1"/>
  <c r="O175" i="24"/>
  <c r="BY175" i="24" s="1"/>
  <c r="O266" i="24"/>
  <c r="O178" i="24"/>
  <c r="BY178" i="24" s="1"/>
  <c r="O256" i="24"/>
  <c r="J133" i="24"/>
  <c r="AI133" i="24" s="1"/>
  <c r="J117" i="24"/>
  <c r="AI117" i="24" s="1"/>
  <c r="O233" i="24"/>
  <c r="O294" i="24"/>
  <c r="J114" i="24"/>
  <c r="AI114" i="24" s="1"/>
  <c r="J151" i="24"/>
  <c r="AI151" i="24" s="1"/>
  <c r="O268" i="24"/>
  <c r="O230" i="24"/>
  <c r="O241" i="24"/>
  <c r="J166" i="24"/>
  <c r="AI166" i="24" s="1"/>
  <c r="O121" i="24"/>
  <c r="BY121" i="24" s="1"/>
  <c r="J276" i="24"/>
  <c r="AE276" i="24" s="1"/>
  <c r="J270" i="24"/>
  <c r="AE270" i="24" s="1"/>
  <c r="J204" i="24"/>
  <c r="AI204" i="24" s="1"/>
  <c r="J156" i="24"/>
  <c r="AI156" i="24" s="1"/>
  <c r="J144" i="24"/>
  <c r="AI144" i="24" s="1"/>
  <c r="J209" i="24"/>
  <c r="AI209" i="24" s="1"/>
  <c r="J120" i="24"/>
  <c r="AI120" i="24" s="1"/>
  <c r="J295" i="24"/>
  <c r="X295" i="24" s="1"/>
  <c r="AA295" i="24" s="1"/>
  <c r="AB295" i="24" s="1"/>
  <c r="AC295" i="24" s="1"/>
  <c r="J284" i="24"/>
  <c r="AI284" i="24" s="1"/>
  <c r="J168" i="24"/>
  <c r="AI168" i="24" s="1"/>
  <c r="J267" i="24"/>
  <c r="AI267" i="24" s="1"/>
  <c r="O160" i="24"/>
  <c r="BY160" i="24" s="1"/>
  <c r="J296" i="24"/>
  <c r="AI296" i="24" s="1"/>
  <c r="J146" i="24"/>
  <c r="AI146" i="24" s="1"/>
  <c r="O250" i="24"/>
  <c r="O129" i="24"/>
  <c r="BY129" i="24" s="1"/>
  <c r="J246" i="24"/>
  <c r="X246" i="24" s="1"/>
  <c r="AA246" i="24" s="1"/>
  <c r="AB246" i="24" s="1"/>
  <c r="AC246" i="24" s="1"/>
  <c r="O303" i="24"/>
  <c r="J252" i="24"/>
  <c r="AI252" i="24" s="1"/>
  <c r="O316" i="24"/>
  <c r="J225" i="24"/>
  <c r="W225" i="24" s="1"/>
  <c r="Y225" i="24" s="1"/>
  <c r="O286" i="24"/>
  <c r="J238" i="24"/>
  <c r="X238" i="24" s="1"/>
  <c r="AA238" i="24" s="1"/>
  <c r="AB238" i="24" s="1"/>
  <c r="AC238" i="24" s="1"/>
  <c r="J189" i="24"/>
  <c r="AI189" i="24" s="1"/>
  <c r="J313" i="24"/>
  <c r="X313" i="24" s="1"/>
  <c r="AA313" i="24" s="1"/>
  <c r="AB313" i="24" s="1"/>
  <c r="AC313" i="24" s="1"/>
  <c r="J232" i="24"/>
  <c r="AI232" i="24" s="1"/>
  <c r="J269" i="24"/>
  <c r="AI269" i="24" s="1"/>
  <c r="J255" i="24"/>
  <c r="AI255" i="24" s="1"/>
  <c r="J263" i="24"/>
  <c r="AI263" i="24" s="1"/>
  <c r="J298" i="24"/>
  <c r="AE298" i="24" s="1"/>
  <c r="J308" i="24"/>
  <c r="X308" i="24" s="1"/>
  <c r="AA308" i="24" s="1"/>
  <c r="AB308" i="24" s="1"/>
  <c r="AC308" i="24" s="1"/>
  <c r="J242" i="24"/>
  <c r="AI242" i="24" s="1"/>
  <c r="O259" i="24"/>
  <c r="O258" i="24"/>
  <c r="O228" i="24"/>
  <c r="O292" i="24"/>
  <c r="O239" i="24"/>
  <c r="O271" i="24"/>
  <c r="O127" i="24"/>
  <c r="BY127" i="24" s="1"/>
  <c r="O300" i="24"/>
  <c r="O273" i="24"/>
  <c r="O111" i="24"/>
  <c r="BY111" i="24" s="1"/>
  <c r="O272" i="24"/>
  <c r="O229" i="24"/>
  <c r="O293" i="24"/>
  <c r="J231" i="24"/>
  <c r="AI231" i="24" s="1"/>
  <c r="J306" i="24"/>
  <c r="AE306" i="24" s="1"/>
  <c r="J174" i="24"/>
  <c r="AI174" i="24" s="1"/>
  <c r="J249" i="24"/>
  <c r="X249" i="24" s="1"/>
  <c r="AA249" i="24" s="1"/>
  <c r="AB249" i="24" s="1"/>
  <c r="AC249" i="24" s="1"/>
  <c r="J153" i="24"/>
  <c r="AE153" i="24" s="1"/>
  <c r="J113" i="24"/>
  <c r="AI113" i="24" s="1"/>
  <c r="BY86" i="24"/>
  <c r="BY46" i="24"/>
  <c r="BY73" i="24"/>
  <c r="BY41" i="24"/>
  <c r="BY42" i="24"/>
  <c r="BY56" i="24"/>
  <c r="BY21" i="24"/>
  <c r="BY50" i="24"/>
  <c r="BY53" i="24"/>
  <c r="BY89" i="24"/>
  <c r="BY64" i="24"/>
  <c r="BY29" i="24"/>
  <c r="BY60" i="24"/>
  <c r="BY70" i="24"/>
  <c r="BY54" i="24"/>
  <c r="BY69" i="24"/>
  <c r="BY101" i="24"/>
  <c r="BY68" i="24"/>
  <c r="BY33" i="24"/>
  <c r="BY25" i="24"/>
  <c r="BY72" i="24"/>
  <c r="BY18" i="24"/>
  <c r="BY82" i="24"/>
  <c r="BY32" i="24"/>
  <c r="BY96" i="24"/>
  <c r="BY97" i="24"/>
  <c r="BY78" i="24"/>
  <c r="BY85" i="24"/>
  <c r="BY92" i="24"/>
  <c r="BY36" i="24"/>
  <c r="BY100" i="24"/>
  <c r="BY105" i="24"/>
  <c r="BY40" i="24"/>
  <c r="BY28" i="24"/>
  <c r="BY104" i="24"/>
  <c r="BY63" i="24"/>
  <c r="BY19" i="24"/>
  <c r="BY79" i="24"/>
  <c r="J196" i="24"/>
  <c r="AI196" i="24" s="1"/>
  <c r="O196" i="24"/>
  <c r="BY196" i="24" s="1"/>
  <c r="J145" i="24"/>
  <c r="X145" i="24" s="1"/>
  <c r="AA145" i="24" s="1"/>
  <c r="AB145" i="24" s="1"/>
  <c r="AC145" i="24" s="1"/>
  <c r="O145" i="24"/>
  <c r="BY145" i="24" s="1"/>
  <c r="J150" i="24"/>
  <c r="X150" i="24" s="1"/>
  <c r="AA150" i="24" s="1"/>
  <c r="AB150" i="24" s="1"/>
  <c r="AC150" i="24" s="1"/>
  <c r="O150" i="24"/>
  <c r="BY150" i="24" s="1"/>
  <c r="J136" i="24"/>
  <c r="AE136" i="24" s="1"/>
  <c r="O136" i="24"/>
  <c r="BY136" i="24" s="1"/>
  <c r="J181" i="24"/>
  <c r="AE181" i="24" s="1"/>
  <c r="O181" i="24"/>
  <c r="BY181" i="24" s="1"/>
  <c r="J149" i="24"/>
  <c r="AI149" i="24" s="1"/>
  <c r="O149" i="24"/>
  <c r="BY149" i="24" s="1"/>
  <c r="J186" i="24"/>
  <c r="AI186" i="24" s="1"/>
  <c r="O186" i="24"/>
  <c r="BY186" i="24" s="1"/>
  <c r="J122" i="24"/>
  <c r="W122" i="24" s="1"/>
  <c r="Y122" i="24" s="1"/>
  <c r="O122" i="24"/>
  <c r="BY122" i="24" s="1"/>
  <c r="J128" i="24"/>
  <c r="X128" i="24" s="1"/>
  <c r="AA128" i="24" s="1"/>
  <c r="AB128" i="24" s="1"/>
  <c r="AC128" i="24" s="1"/>
  <c r="O128" i="24"/>
  <c r="BY128" i="24" s="1"/>
  <c r="J163" i="24"/>
  <c r="AI163" i="24" s="1"/>
  <c r="O163" i="24"/>
  <c r="BY163" i="24" s="1"/>
  <c r="J208" i="24"/>
  <c r="AE208" i="24" s="1"/>
  <c r="O208" i="24"/>
  <c r="BY208" i="24" s="1"/>
  <c r="J141" i="24"/>
  <c r="X141" i="24" s="1"/>
  <c r="AA141" i="24" s="1"/>
  <c r="AB141" i="24" s="1"/>
  <c r="AC141" i="24" s="1"/>
  <c r="O141" i="24"/>
  <c r="BY141" i="24" s="1"/>
  <c r="J179" i="24"/>
  <c r="X179" i="24" s="1"/>
  <c r="AA179" i="24" s="1"/>
  <c r="AB179" i="24" s="1"/>
  <c r="AC179" i="24" s="1"/>
  <c r="O179" i="24"/>
  <c r="BY179" i="24" s="1"/>
  <c r="BY23" i="24"/>
  <c r="BY91" i="24"/>
  <c r="J201" i="24"/>
  <c r="W201" i="24" s="1"/>
  <c r="O201" i="24"/>
  <c r="BY201" i="24" s="1"/>
  <c r="J155" i="24"/>
  <c r="AE155" i="24" s="1"/>
  <c r="O155" i="24"/>
  <c r="BY155" i="24" s="1"/>
  <c r="J131" i="24"/>
  <c r="AI131" i="24" s="1"/>
  <c r="O131" i="24"/>
  <c r="BY131" i="24" s="1"/>
  <c r="J184" i="24"/>
  <c r="X184" i="24" s="1"/>
  <c r="AA184" i="24" s="1"/>
  <c r="AB184" i="24" s="1"/>
  <c r="AC184" i="24" s="1"/>
  <c r="O184" i="24"/>
  <c r="BY184" i="24" s="1"/>
  <c r="J112" i="24"/>
  <c r="W112" i="24" s="1"/>
  <c r="O112" i="24"/>
  <c r="BY112" i="24" s="1"/>
  <c r="J154" i="24"/>
  <c r="X154" i="24" s="1"/>
  <c r="AA154" i="24" s="1"/>
  <c r="AB154" i="24" s="1"/>
  <c r="AC154" i="24" s="1"/>
  <c r="O154" i="24"/>
  <c r="BY154" i="24" s="1"/>
  <c r="J172" i="24"/>
  <c r="W172" i="24" s="1"/>
  <c r="O172" i="24"/>
  <c r="BY172" i="24" s="1"/>
  <c r="J115" i="24"/>
  <c r="AE115" i="24" s="1"/>
  <c r="O115" i="24"/>
  <c r="BY115" i="24" s="1"/>
  <c r="J183" i="24"/>
  <c r="X183" i="24" s="1"/>
  <c r="AA183" i="24" s="1"/>
  <c r="AB183" i="24" s="1"/>
  <c r="AC183" i="24" s="1"/>
  <c r="O183" i="24"/>
  <c r="BY183" i="24" s="1"/>
  <c r="J187" i="24"/>
  <c r="AE187" i="24" s="1"/>
  <c r="O187" i="24"/>
  <c r="BY187" i="24" s="1"/>
  <c r="J119" i="24"/>
  <c r="AI119" i="24" s="1"/>
  <c r="O119" i="24"/>
  <c r="BY119" i="24" s="1"/>
  <c r="J116" i="24"/>
  <c r="AE116" i="24" s="1"/>
  <c r="O116" i="24"/>
  <c r="BY116" i="24" s="1"/>
  <c r="BY87" i="24"/>
  <c r="BY31" i="24"/>
  <c r="BY27" i="24"/>
  <c r="BY83" i="24"/>
  <c r="BY14" i="24"/>
  <c r="BY10" i="24"/>
  <c r="BY74" i="24"/>
  <c r="J148" i="24"/>
  <c r="W148" i="24" s="1"/>
  <c r="Y148" i="24" s="1"/>
  <c r="O148" i="24"/>
  <c r="BY148" i="24" s="1"/>
  <c r="J177" i="24"/>
  <c r="AI177" i="24" s="1"/>
  <c r="O177" i="24"/>
  <c r="BY177" i="24" s="1"/>
  <c r="J210" i="24"/>
  <c r="W210" i="24" s="1"/>
  <c r="Y210" i="24" s="1"/>
  <c r="O210" i="24"/>
  <c r="BY210" i="24" s="1"/>
  <c r="J123" i="24"/>
  <c r="W123" i="24" s="1"/>
  <c r="O123" i="24"/>
  <c r="BY123" i="24" s="1"/>
  <c r="J134" i="24"/>
  <c r="AI134" i="24" s="1"/>
  <c r="O134" i="24"/>
  <c r="BY134" i="24" s="1"/>
  <c r="J182" i="24"/>
  <c r="X182" i="24" s="1"/>
  <c r="AA182" i="24" s="1"/>
  <c r="AB182" i="24" s="1"/>
  <c r="AC182" i="24" s="1"/>
  <c r="O182" i="24"/>
  <c r="BY182" i="24" s="1"/>
  <c r="J199" i="24"/>
  <c r="AI199" i="24" s="1"/>
  <c r="O199" i="24"/>
  <c r="BY199" i="24" s="1"/>
  <c r="J152" i="24"/>
  <c r="AI152" i="24" s="1"/>
  <c r="O152" i="24"/>
  <c r="BY152" i="24" s="1"/>
  <c r="J157" i="24"/>
  <c r="AE157" i="24" s="1"/>
  <c r="O157" i="24"/>
  <c r="BY157" i="24" s="1"/>
  <c r="J205" i="24"/>
  <c r="X205" i="24" s="1"/>
  <c r="AA205" i="24" s="1"/>
  <c r="AB205" i="24" s="1"/>
  <c r="AC205" i="24" s="1"/>
  <c r="O205" i="24"/>
  <c r="BY205" i="24" s="1"/>
  <c r="J159" i="24"/>
  <c r="AI159" i="24" s="1"/>
  <c r="O159" i="24"/>
  <c r="BY159" i="24" s="1"/>
  <c r="J167" i="24"/>
  <c r="AI167" i="24" s="1"/>
  <c r="O167" i="24"/>
  <c r="BY167" i="24" s="1"/>
  <c r="J170" i="24"/>
  <c r="X170" i="24" s="1"/>
  <c r="AA170" i="24" s="1"/>
  <c r="AB170" i="24" s="1"/>
  <c r="AC170" i="24" s="1"/>
  <c r="O170" i="24"/>
  <c r="BY170" i="24" s="1"/>
  <c r="J207" i="24"/>
  <c r="AE207" i="24" s="1"/>
  <c r="O207" i="24"/>
  <c r="BY207" i="24" s="1"/>
  <c r="J188" i="24"/>
  <c r="AI188" i="24" s="1"/>
  <c r="O188" i="24"/>
  <c r="BY188" i="24" s="1"/>
  <c r="J161" i="24"/>
  <c r="AI161" i="24" s="1"/>
  <c r="O161" i="24"/>
  <c r="BY161" i="24" s="1"/>
  <c r="J194" i="24"/>
  <c r="AI194" i="24" s="1"/>
  <c r="O194" i="24"/>
  <c r="BY194" i="24" s="1"/>
  <c r="J137" i="24"/>
  <c r="X137" i="24" s="1"/>
  <c r="AA137" i="24" s="1"/>
  <c r="AB137" i="24" s="1"/>
  <c r="AC137" i="24" s="1"/>
  <c r="O137" i="24"/>
  <c r="BY137" i="24" s="1"/>
  <c r="J142" i="24"/>
  <c r="X142" i="24" s="1"/>
  <c r="AA142" i="24" s="1"/>
  <c r="AB142" i="24" s="1"/>
  <c r="AC142" i="24" s="1"/>
  <c r="O142" i="24"/>
  <c r="BY142" i="24" s="1"/>
  <c r="J125" i="24"/>
  <c r="AI125" i="24" s="1"/>
  <c r="O125" i="24"/>
  <c r="BY125" i="24" s="1"/>
  <c r="J192" i="24"/>
  <c r="AI192" i="24" s="1"/>
  <c r="O192" i="24"/>
  <c r="BY192" i="24" s="1"/>
  <c r="J169" i="24"/>
  <c r="AE169" i="24" s="1"/>
  <c r="O169" i="24"/>
  <c r="BY169" i="24" s="1"/>
  <c r="J206" i="24"/>
  <c r="AI206" i="24" s="1"/>
  <c r="O206" i="24"/>
  <c r="BY206" i="24" s="1"/>
  <c r="J165" i="24"/>
  <c r="X165" i="24" s="1"/>
  <c r="AA165" i="24" s="1"/>
  <c r="AB165" i="24" s="1"/>
  <c r="AC165" i="24" s="1"/>
  <c r="O165" i="24"/>
  <c r="BY165" i="24" s="1"/>
  <c r="J162" i="24"/>
  <c r="AI162" i="24" s="1"/>
  <c r="O162" i="24"/>
  <c r="BY162" i="24" s="1"/>
  <c r="J203" i="24"/>
  <c r="AE203" i="24" s="1"/>
  <c r="O203" i="24"/>
  <c r="BY203" i="24" s="1"/>
  <c r="BY55" i="24"/>
  <c r="BY95" i="24"/>
  <c r="BY59" i="24"/>
  <c r="BY51" i="24"/>
  <c r="J46" i="24"/>
  <c r="AE46" i="24" s="1"/>
  <c r="J64" i="24"/>
  <c r="AE64" i="24" s="1"/>
  <c r="AF64" i="24" s="1"/>
  <c r="J95" i="24"/>
  <c r="AI95" i="24" s="1"/>
  <c r="J59" i="24"/>
  <c r="AE59" i="24" s="1"/>
  <c r="J54" i="24"/>
  <c r="AE54" i="24" s="1"/>
  <c r="J73" i="24"/>
  <c r="X73" i="24" s="1"/>
  <c r="AA73" i="24" s="1"/>
  <c r="AB73" i="24" s="1"/>
  <c r="AC73" i="24" s="1"/>
  <c r="J56" i="24"/>
  <c r="X56" i="24" s="1"/>
  <c r="AA56" i="24" s="1"/>
  <c r="AB56" i="24" s="1"/>
  <c r="AC56" i="24" s="1"/>
  <c r="J14" i="24"/>
  <c r="X14" i="24" s="1"/>
  <c r="AA14" i="24" s="1"/>
  <c r="AB14" i="24" s="1"/>
  <c r="AC14" i="24" s="1"/>
  <c r="J78" i="24"/>
  <c r="X78" i="24" s="1"/>
  <c r="AA78" i="24" s="1"/>
  <c r="AB78" i="24" s="1"/>
  <c r="AC78" i="24" s="1"/>
  <c r="J23" i="24"/>
  <c r="AI23" i="24" s="1"/>
  <c r="J87" i="24"/>
  <c r="AE87" i="24" s="1"/>
  <c r="J32" i="24"/>
  <c r="AI32" i="24" s="1"/>
  <c r="J96" i="24"/>
  <c r="W96" i="24" s="1"/>
  <c r="J97" i="24"/>
  <c r="W97" i="24" s="1"/>
  <c r="Y97" i="24" s="1"/>
  <c r="J31" i="24"/>
  <c r="AE31" i="24" s="1"/>
  <c r="J40" i="24"/>
  <c r="AE40" i="24" s="1"/>
  <c r="J18" i="24"/>
  <c r="AE18" i="24" s="1"/>
  <c r="J82" i="24"/>
  <c r="AE82" i="24" s="1"/>
  <c r="J27" i="24"/>
  <c r="AI27" i="24" s="1"/>
  <c r="J91" i="24"/>
  <c r="X91" i="24" s="1"/>
  <c r="AA91" i="24" s="1"/>
  <c r="AB91" i="24" s="1"/>
  <c r="AC91" i="24" s="1"/>
  <c r="J36" i="24"/>
  <c r="AI36" i="24" s="1"/>
  <c r="J100" i="24"/>
  <c r="AI100" i="24" s="1"/>
  <c r="J105" i="24"/>
  <c r="AI105" i="24" s="1"/>
  <c r="J63" i="24"/>
  <c r="AE63" i="24" s="1"/>
  <c r="J10" i="24"/>
  <c r="AI10" i="24" s="1"/>
  <c r="J74" i="24"/>
  <c r="X74" i="24" s="1"/>
  <c r="AA74" i="24" s="1"/>
  <c r="AB74" i="24" s="1"/>
  <c r="AC74" i="24" s="1"/>
  <c r="J19" i="24"/>
  <c r="AE19" i="24" s="1"/>
  <c r="J83" i="24"/>
  <c r="X83" i="24" s="1"/>
  <c r="AA83" i="24" s="1"/>
  <c r="AB83" i="24" s="1"/>
  <c r="AC83" i="24" s="1"/>
  <c r="J28" i="24"/>
  <c r="AE28" i="24" s="1"/>
  <c r="J92" i="24"/>
  <c r="AE92" i="24" s="1"/>
  <c r="J85" i="24"/>
  <c r="X85" i="24" s="1"/>
  <c r="AA85" i="24" s="1"/>
  <c r="AB85" i="24" s="1"/>
  <c r="AC85" i="24" s="1"/>
  <c r="J79" i="24"/>
  <c r="AE79" i="24" s="1"/>
  <c r="J53" i="24"/>
  <c r="X53" i="24" s="1"/>
  <c r="AA53" i="24" s="1"/>
  <c r="AB53" i="24" s="1"/>
  <c r="AC53" i="24" s="1"/>
  <c r="J89" i="24"/>
  <c r="AE89" i="24" s="1"/>
  <c r="J70" i="24"/>
  <c r="AI70" i="24" s="1"/>
  <c r="J21" i="24"/>
  <c r="W21" i="24" s="1"/>
  <c r="J69" i="24"/>
  <c r="AI69" i="24" s="1"/>
  <c r="J101" i="24"/>
  <c r="X101" i="24" s="1"/>
  <c r="AA101" i="24" s="1"/>
  <c r="AB101" i="24" s="1"/>
  <c r="AC101" i="24" s="1"/>
  <c r="J33" i="24"/>
  <c r="W33" i="24" s="1"/>
  <c r="J42" i="24"/>
  <c r="AI42" i="24" s="1"/>
  <c r="J41" i="24"/>
  <c r="AE41" i="24" s="1"/>
  <c r="J60" i="24"/>
  <c r="AI60" i="24" s="1"/>
  <c r="J86" i="24"/>
  <c r="X86" i="24" s="1"/>
  <c r="AA86" i="24" s="1"/>
  <c r="AB86" i="24" s="1"/>
  <c r="AC86" i="24" s="1"/>
  <c r="J55" i="24"/>
  <c r="W55" i="24" s="1"/>
  <c r="Y55" i="24" s="1"/>
  <c r="J29" i="24"/>
  <c r="AE29" i="24" s="1"/>
  <c r="J50" i="24"/>
  <c r="AI50" i="24" s="1"/>
  <c r="J68" i="24"/>
  <c r="AE68" i="24" s="1"/>
  <c r="J72" i="24"/>
  <c r="AE72" i="24" s="1"/>
  <c r="J51" i="24"/>
  <c r="AE51" i="24" s="1"/>
  <c r="J25" i="24"/>
  <c r="AI25" i="24" s="1"/>
  <c r="J104" i="24"/>
  <c r="AI104" i="24" s="1"/>
  <c r="P110" i="24"/>
  <c r="Q110" i="24"/>
  <c r="Q27" i="24"/>
  <c r="R27" i="24" s="1"/>
  <c r="Q70" i="24"/>
  <c r="R70" i="24" s="1"/>
  <c r="Q79" i="24"/>
  <c r="R79" i="24" s="1"/>
  <c r="Q53" i="24"/>
  <c r="R53" i="24" s="1"/>
  <c r="Q23" i="24"/>
  <c r="R23" i="24" s="1"/>
  <c r="Q32" i="24"/>
  <c r="R32" i="24" s="1"/>
  <c r="Q97" i="24"/>
  <c r="Q59" i="24"/>
  <c r="Q86" i="24"/>
  <c r="Q95" i="24"/>
  <c r="R95" i="24" s="1"/>
  <c r="Q104" i="24"/>
  <c r="R104" i="24" s="1"/>
  <c r="Q33" i="24"/>
  <c r="Q41" i="24"/>
  <c r="R41" i="24" s="1"/>
  <c r="Q51" i="24"/>
  <c r="Q73" i="24"/>
  <c r="R73" i="24" s="1"/>
  <c r="Q25" i="24"/>
  <c r="R25" i="24" s="1"/>
  <c r="Q78" i="24"/>
  <c r="R78" i="24" s="1"/>
  <c r="Q101" i="24"/>
  <c r="R101" i="24" s="1"/>
  <c r="Q21" i="24"/>
  <c r="R21" i="24" s="1"/>
  <c r="Q100" i="24"/>
  <c r="R100" i="24" s="1"/>
  <c r="Q55" i="24"/>
  <c r="Q64" i="24"/>
  <c r="R64" i="24" s="1"/>
  <c r="Q68" i="24"/>
  <c r="R68" i="24" s="1"/>
  <c r="Q54" i="24"/>
  <c r="Q63" i="24"/>
  <c r="R63" i="24" s="1"/>
  <c r="Q69" i="24"/>
  <c r="R69" i="24" s="1"/>
  <c r="Q10" i="24"/>
  <c r="R10" i="24" s="1"/>
  <c r="Q19" i="24"/>
  <c r="Q28" i="24"/>
  <c r="R28" i="24" s="1"/>
  <c r="Q85" i="24"/>
  <c r="R85" i="24" s="1"/>
  <c r="Q105" i="24"/>
  <c r="P41" i="24"/>
  <c r="P27" i="24"/>
  <c r="T30" i="24"/>
  <c r="O30" i="24" s="1"/>
  <c r="BY30" i="24" s="1"/>
  <c r="P78" i="24"/>
  <c r="T39" i="24"/>
  <c r="O39" i="24" s="1"/>
  <c r="BY39" i="24" s="1"/>
  <c r="T48" i="24"/>
  <c r="O48" i="24" s="1"/>
  <c r="BY48" i="24" s="1"/>
  <c r="T38" i="24"/>
  <c r="O38" i="24" s="1"/>
  <c r="BY38" i="24" s="1"/>
  <c r="T88" i="24"/>
  <c r="O88" i="24" s="1"/>
  <c r="BY88" i="24" s="1"/>
  <c r="T98" i="24"/>
  <c r="O98" i="24" s="1"/>
  <c r="BY98" i="24" s="1"/>
  <c r="T37" i="24"/>
  <c r="O37" i="24" s="1"/>
  <c r="BY37" i="24" s="1"/>
  <c r="T17" i="24"/>
  <c r="O17" i="24" s="1"/>
  <c r="BY17" i="24" s="1"/>
  <c r="T61" i="24"/>
  <c r="O61" i="24" s="1"/>
  <c r="BY61" i="24" s="1"/>
  <c r="T90" i="24"/>
  <c r="O90" i="24" s="1"/>
  <c r="BY90" i="24" s="1"/>
  <c r="T99" i="24"/>
  <c r="O99" i="24" s="1"/>
  <c r="BY99" i="24" s="1"/>
  <c r="T9" i="24"/>
  <c r="O9" i="24" s="1"/>
  <c r="BY9" i="24" s="1"/>
  <c r="T8" i="24"/>
  <c r="O8" i="24" s="1"/>
  <c r="BY8" i="24" s="1"/>
  <c r="T7" i="24"/>
  <c r="O7" i="24" s="1"/>
  <c r="BY7" i="24" s="1"/>
  <c r="T16" i="24"/>
  <c r="O16" i="24" s="1"/>
  <c r="BY16" i="24" s="1"/>
  <c r="T57" i="24"/>
  <c r="O57" i="24" s="1"/>
  <c r="BY57" i="24" s="1"/>
  <c r="T24" i="24"/>
  <c r="O24" i="24" s="1"/>
  <c r="BY24" i="24" s="1"/>
  <c r="T66" i="24"/>
  <c r="O66" i="24" s="1"/>
  <c r="BY66" i="24" s="1"/>
  <c r="T75" i="24"/>
  <c r="O75" i="24" s="1"/>
  <c r="BY75" i="24" s="1"/>
  <c r="T84" i="24"/>
  <c r="O84" i="24" s="1"/>
  <c r="BY84" i="24" s="1"/>
  <c r="T81" i="24"/>
  <c r="O81" i="24" s="1"/>
  <c r="BY81" i="24" s="1"/>
  <c r="T58" i="24"/>
  <c r="O58" i="24" s="1"/>
  <c r="BY58" i="24" s="1"/>
  <c r="T67" i="24"/>
  <c r="O67" i="24" s="1"/>
  <c r="BY67" i="24" s="1"/>
  <c r="T76" i="24"/>
  <c r="O76" i="24" s="1"/>
  <c r="BY76" i="24" s="1"/>
  <c r="T15" i="24"/>
  <c r="O15" i="24" s="1"/>
  <c r="BY15" i="24" s="1"/>
  <c r="T94" i="24"/>
  <c r="O94" i="24" s="1"/>
  <c r="BY94" i="24" s="1"/>
  <c r="T103" i="24"/>
  <c r="O103" i="24" s="1"/>
  <c r="BY103" i="24" s="1"/>
  <c r="T13" i="24"/>
  <c r="O13" i="24" s="1"/>
  <c r="BY13" i="24" s="1"/>
  <c r="T47" i="24"/>
  <c r="O47" i="24" s="1"/>
  <c r="BY47" i="24" s="1"/>
  <c r="T34" i="24"/>
  <c r="O34" i="24" s="1"/>
  <c r="BY34" i="24" s="1"/>
  <c r="T43" i="24"/>
  <c r="O43" i="24" s="1"/>
  <c r="BY43" i="24" s="1"/>
  <c r="T52" i="24"/>
  <c r="O52" i="24" s="1"/>
  <c r="BY52" i="24" s="1"/>
  <c r="T6" i="24"/>
  <c r="O6" i="24" s="1"/>
  <c r="BY6" i="24" s="1"/>
  <c r="T26" i="24"/>
  <c r="O26" i="24" s="1"/>
  <c r="BY26" i="24" s="1"/>
  <c r="T35" i="24"/>
  <c r="O35" i="24" s="1"/>
  <c r="BY35" i="24" s="1"/>
  <c r="T44" i="24"/>
  <c r="O44" i="24" s="1"/>
  <c r="BY44" i="24" s="1"/>
  <c r="T22" i="24"/>
  <c r="O22" i="24" s="1"/>
  <c r="BY22" i="24" s="1"/>
  <c r="P79" i="24"/>
  <c r="P28" i="24"/>
  <c r="T62" i="24"/>
  <c r="O62" i="24" s="1"/>
  <c r="BY62" i="24" s="1"/>
  <c r="AP53" i="24"/>
  <c r="T71" i="24"/>
  <c r="O71" i="24" s="1"/>
  <c r="BY71" i="24" s="1"/>
  <c r="T80" i="24"/>
  <c r="O80" i="24" s="1"/>
  <c r="BY80" i="24" s="1"/>
  <c r="T102" i="24"/>
  <c r="O102" i="24" s="1"/>
  <c r="BY102" i="24" s="1"/>
  <c r="T77" i="24"/>
  <c r="O77" i="24" s="1"/>
  <c r="BY77" i="24" s="1"/>
  <c r="T11" i="24"/>
  <c r="O11" i="24" s="1"/>
  <c r="BY11" i="24" s="1"/>
  <c r="T20" i="24"/>
  <c r="O20" i="24" s="1"/>
  <c r="BY20" i="24" s="1"/>
  <c r="T65" i="24"/>
  <c r="O65" i="24" s="1"/>
  <c r="BY65" i="24" s="1"/>
  <c r="T45" i="24"/>
  <c r="O45" i="24" s="1"/>
  <c r="BY45" i="24" s="1"/>
  <c r="T93" i="24"/>
  <c r="O93" i="24" s="1"/>
  <c r="BY93" i="24" s="1"/>
  <c r="T12" i="24"/>
  <c r="O12" i="24" s="1"/>
  <c r="BY12" i="24" s="1"/>
  <c r="T49" i="24"/>
  <c r="O49" i="24" s="1"/>
  <c r="BY49" i="24" s="1"/>
  <c r="P53" i="24"/>
  <c r="P64" i="24"/>
  <c r="P68" i="24"/>
  <c r="P63" i="24"/>
  <c r="P10" i="24"/>
  <c r="AI5" i="24"/>
  <c r="R5" i="24"/>
  <c r="X110" i="24"/>
  <c r="AA110" i="24" s="1"/>
  <c r="AB110" i="24" s="1"/>
  <c r="AC110" i="24" s="1"/>
  <c r="AP110" i="24"/>
  <c r="AE5" i="24"/>
  <c r="AF5" i="24" s="1"/>
  <c r="R110" i="25"/>
  <c r="AO216" i="25"/>
  <c r="AP216" i="24"/>
  <c r="Q216" i="25"/>
  <c r="CD216" i="25" s="1"/>
  <c r="R216" i="25"/>
  <c r="K77" i="23"/>
  <c r="M77" i="23" s="1"/>
  <c r="CD131" i="25"/>
  <c r="CD113" i="25"/>
  <c r="X5" i="24"/>
  <c r="AA5" i="24" s="1"/>
  <c r="AB5" i="24" s="1"/>
  <c r="AC5" i="24" s="1"/>
  <c r="CD137" i="25"/>
  <c r="CD120" i="25"/>
  <c r="CD133" i="25"/>
  <c r="CD112" i="25"/>
  <c r="CD117" i="25"/>
  <c r="CD122" i="25"/>
  <c r="CD124" i="25"/>
  <c r="AO110" i="25"/>
  <c r="CD118" i="25"/>
  <c r="CD114" i="25"/>
  <c r="S110" i="25"/>
  <c r="K110" i="25" s="1"/>
  <c r="AD110" i="25" s="1"/>
  <c r="AE110" i="25" s="1"/>
  <c r="P216" i="24"/>
  <c r="CD216" i="24" s="1"/>
  <c r="B201" i="2"/>
  <c r="BY103" i="25"/>
  <c r="BY91" i="25"/>
  <c r="BY102" i="25"/>
  <c r="BY49" i="25"/>
  <c r="BY90" i="25"/>
  <c r="BY105" i="25"/>
  <c r="BY101" i="25"/>
  <c r="BY97" i="25"/>
  <c r="BY93" i="25"/>
  <c r="BY5" i="25"/>
  <c r="R5" i="25"/>
  <c r="BY104" i="25"/>
  <c r="BY96" i="25"/>
  <c r="BY63" i="25"/>
  <c r="BY47" i="25"/>
  <c r="BY27" i="25"/>
  <c r="BY77" i="25"/>
  <c r="BY57" i="25"/>
  <c r="BY25" i="25"/>
  <c r="BY6" i="25"/>
  <c r="BY69" i="25"/>
  <c r="BY21" i="25"/>
  <c r="BY35" i="25"/>
  <c r="BY22" i="25"/>
  <c r="BY60" i="25"/>
  <c r="BY24" i="25"/>
  <c r="BY38" i="25"/>
  <c r="BY18" i="25"/>
  <c r="BY71" i="25"/>
  <c r="BY39" i="25"/>
  <c r="BY65" i="25"/>
  <c r="BY33" i="25"/>
  <c r="BY43" i="25"/>
  <c r="BY73" i="25"/>
  <c r="BY17" i="25"/>
  <c r="BY74" i="25"/>
  <c r="BY34" i="25"/>
  <c r="S5" i="25"/>
  <c r="K5" i="25" s="1"/>
  <c r="AD5" i="25" s="1"/>
  <c r="AE5" i="25" s="1"/>
  <c r="BY95" i="25"/>
  <c r="BY94" i="25"/>
  <c r="BY59" i="25"/>
  <c r="BY9" i="25"/>
  <c r="BY54" i="25"/>
  <c r="BY100" i="25"/>
  <c r="BY92" i="25"/>
  <c r="BY83" i="25"/>
  <c r="BY67" i="25"/>
  <c r="BY51" i="25"/>
  <c r="BY31" i="25"/>
  <c r="BY15" i="25"/>
  <c r="BY85" i="25"/>
  <c r="BY61" i="25"/>
  <c r="BY29" i="25"/>
  <c r="BY82" i="25"/>
  <c r="BY81" i="25"/>
  <c r="BY41" i="25"/>
  <c r="BY36" i="25"/>
  <c r="BY26" i="25"/>
  <c r="BY79" i="25"/>
  <c r="BY10" i="25"/>
  <c r="BY78" i="25"/>
  <c r="BY62" i="25"/>
  <c r="BY80" i="25"/>
  <c r="BY64" i="25"/>
  <c r="BY48" i="25"/>
  <c r="BY28" i="25"/>
  <c r="BY12" i="25"/>
  <c r="BY42" i="25"/>
  <c r="BY87" i="25"/>
  <c r="BY55" i="25"/>
  <c r="BY19" i="25"/>
  <c r="BY13" i="25"/>
  <c r="BY89" i="25"/>
  <c r="BY45" i="25"/>
  <c r="BY37" i="25"/>
  <c r="BY75" i="25"/>
  <c r="BY23" i="25"/>
  <c r="BY76" i="25"/>
  <c r="BY44" i="25"/>
  <c r="BY58" i="25"/>
  <c r="Q5" i="25"/>
  <c r="BY99" i="25"/>
  <c r="BY53" i="25"/>
  <c r="BY11" i="25"/>
  <c r="BY7" i="25"/>
  <c r="BY66" i="25"/>
  <c r="BY84" i="25"/>
  <c r="BY68" i="25"/>
  <c r="BY52" i="25"/>
  <c r="BY32" i="25"/>
  <c r="BY16" i="25"/>
  <c r="BY46" i="25"/>
  <c r="BY8" i="25"/>
  <c r="BY86" i="25"/>
  <c r="BY70" i="25"/>
  <c r="BY88" i="25"/>
  <c r="BY72" i="25"/>
  <c r="BY56" i="25"/>
  <c r="BY40" i="25"/>
  <c r="BY20" i="25"/>
  <c r="BY50" i="25"/>
  <c r="BY30" i="25"/>
  <c r="BY14" i="25"/>
  <c r="BY98" i="25"/>
  <c r="AO5" i="25"/>
  <c r="BK6" i="19"/>
  <c r="BB6" i="19"/>
  <c r="BH7" i="19"/>
  <c r="BF6" i="19"/>
  <c r="BK7" i="19"/>
  <c r="BS7" i="19"/>
  <c r="BF9" i="19"/>
  <c r="BH9" i="19"/>
  <c r="BD9" i="19"/>
  <c r="BA6" i="19"/>
  <c r="BI6" i="19"/>
  <c r="BD6" i="19"/>
  <c r="AZ7" i="19"/>
  <c r="BL7" i="19" s="1"/>
  <c r="BM7" i="19" s="1"/>
  <c r="BZ7" i="19" s="1"/>
  <c r="BG7" i="19"/>
  <c r="BJ7" i="19"/>
  <c r="BS6" i="19"/>
  <c r="AZ6" i="19"/>
  <c r="BL6" i="19" s="1"/>
  <c r="BM6" i="19" s="1"/>
  <c r="BZ6" i="19" s="1"/>
  <c r="BG6" i="19"/>
  <c r="BB7" i="19"/>
  <c r="BF7" i="19"/>
  <c r="BA7" i="19"/>
  <c r="BC6" i="19"/>
  <c r="BH6" i="19"/>
  <c r="BE6" i="19"/>
  <c r="BE7" i="19"/>
  <c r="BI7" i="19"/>
  <c r="BB9" i="19"/>
  <c r="BI9" i="19"/>
  <c r="BB8" i="19"/>
  <c r="BS8" i="19"/>
  <c r="BJ9" i="19"/>
  <c r="BS9" i="19"/>
  <c r="BK8" i="19"/>
  <c r="AZ9" i="19"/>
  <c r="BL9" i="19" s="1"/>
  <c r="BM9" i="19" s="1"/>
  <c r="BZ9" i="19" s="1"/>
  <c r="BD8" i="19"/>
  <c r="BE8" i="19"/>
  <c r="BG8" i="19"/>
  <c r="BE9" i="19"/>
  <c r="BA9" i="19"/>
  <c r="BG9" i="19"/>
  <c r="BH8" i="19"/>
  <c r="BI8" i="19"/>
  <c r="BF8" i="19"/>
  <c r="AZ8" i="19"/>
  <c r="BL8" i="19" s="1"/>
  <c r="BM8" i="19" s="1"/>
  <c r="BZ8" i="19" s="1"/>
  <c r="BK9" i="19"/>
  <c r="BC9" i="19"/>
  <c r="BA8" i="19"/>
  <c r="BJ8" i="19"/>
  <c r="AD216" i="25"/>
  <c r="AE216" i="25" s="1"/>
  <c r="W216" i="25"/>
  <c r="Z216" i="25" s="1"/>
  <c r="AA216" i="25" s="1"/>
  <c r="AB216" i="25" s="1"/>
  <c r="V216" i="25"/>
  <c r="X216" i="25" s="1"/>
  <c r="AD289" i="25"/>
  <c r="AE289" i="25" s="1"/>
  <c r="W289" i="25"/>
  <c r="Z289" i="25" s="1"/>
  <c r="AA289" i="25" s="1"/>
  <c r="AB289" i="25" s="1"/>
  <c r="AD253" i="25"/>
  <c r="AE253" i="25" s="1"/>
  <c r="W253" i="25"/>
  <c r="Z253" i="25" s="1"/>
  <c r="AA253" i="25" s="1"/>
  <c r="AB253" i="25" s="1"/>
  <c r="AO266" i="25"/>
  <c r="V205" i="25"/>
  <c r="U205" i="25"/>
  <c r="AD247" i="25"/>
  <c r="AE247" i="25" s="1"/>
  <c r="W247" i="25"/>
  <c r="Z247" i="25" s="1"/>
  <c r="AA247" i="25" s="1"/>
  <c r="AB247" i="25" s="1"/>
  <c r="AO182" i="25"/>
  <c r="AO185" i="25"/>
  <c r="AO153" i="25"/>
  <c r="AO273" i="25"/>
  <c r="U219" i="25"/>
  <c r="V219" i="25"/>
  <c r="AO83" i="25"/>
  <c r="AO85" i="25"/>
  <c r="AO29" i="25"/>
  <c r="W66" i="25"/>
  <c r="Z66" i="25" s="1"/>
  <c r="AA66" i="25" s="1"/>
  <c r="AB66" i="25" s="1"/>
  <c r="AD66" i="25"/>
  <c r="AE66" i="25" s="1"/>
  <c r="W68" i="25"/>
  <c r="Z68" i="25" s="1"/>
  <c r="AA68" i="25" s="1"/>
  <c r="AB68" i="25" s="1"/>
  <c r="AD68" i="25"/>
  <c r="AE68" i="25" s="1"/>
  <c r="AD16" i="25"/>
  <c r="AE16" i="25" s="1"/>
  <c r="W16" i="25"/>
  <c r="Z16" i="25" s="1"/>
  <c r="AA16" i="25" s="1"/>
  <c r="AB16" i="25" s="1"/>
  <c r="W36" i="25"/>
  <c r="Z36" i="25" s="1"/>
  <c r="AA36" i="25" s="1"/>
  <c r="AB36" i="25" s="1"/>
  <c r="AD36" i="25"/>
  <c r="AE36" i="25" s="1"/>
  <c r="AO36" i="25"/>
  <c r="U292" i="25"/>
  <c r="V292" i="25"/>
  <c r="AO265" i="25"/>
  <c r="V299" i="25"/>
  <c r="U299" i="25"/>
  <c r="AD282" i="25"/>
  <c r="AE282" i="25" s="1"/>
  <c r="W282" i="25"/>
  <c r="Z282" i="25" s="1"/>
  <c r="AA282" i="25" s="1"/>
  <c r="AB282" i="25" s="1"/>
  <c r="AO143" i="25"/>
  <c r="AO268" i="25"/>
  <c r="U260" i="25"/>
  <c r="V260" i="25"/>
  <c r="AO252" i="25"/>
  <c r="AD194" i="25"/>
  <c r="AE194" i="25" s="1"/>
  <c r="W194" i="25"/>
  <c r="Z194" i="25" s="1"/>
  <c r="AA194" i="25" s="1"/>
  <c r="AB194" i="25" s="1"/>
  <c r="AD162" i="25"/>
  <c r="AE162" i="25" s="1"/>
  <c r="W162" i="25"/>
  <c r="Z162" i="25" s="1"/>
  <c r="AA162" i="25" s="1"/>
  <c r="AB162" i="25" s="1"/>
  <c r="V192" i="25"/>
  <c r="U192" i="25"/>
  <c r="W168" i="25"/>
  <c r="Z168" i="25" s="1"/>
  <c r="AA168" i="25" s="1"/>
  <c r="AB168" i="25" s="1"/>
  <c r="AD168" i="25"/>
  <c r="AE168" i="25" s="1"/>
  <c r="V144" i="25"/>
  <c r="U144" i="25"/>
  <c r="AD95" i="25"/>
  <c r="AE95" i="25" s="1"/>
  <c r="W95" i="25"/>
  <c r="Z95" i="25" s="1"/>
  <c r="AA95" i="25" s="1"/>
  <c r="AB95" i="25" s="1"/>
  <c r="V62" i="25"/>
  <c r="U62" i="25"/>
  <c r="AD261" i="25"/>
  <c r="AE261" i="25" s="1"/>
  <c r="W261" i="25"/>
  <c r="Z261" i="25" s="1"/>
  <c r="AA261" i="25" s="1"/>
  <c r="AB261" i="25" s="1"/>
  <c r="AD127" i="25"/>
  <c r="AE127" i="25" s="1"/>
  <c r="W127" i="25"/>
  <c r="Z127" i="25" s="1"/>
  <c r="AA127" i="25" s="1"/>
  <c r="AB127" i="25" s="1"/>
  <c r="W90" i="25"/>
  <c r="Z90" i="25" s="1"/>
  <c r="AA90" i="25" s="1"/>
  <c r="AB90" i="25" s="1"/>
  <c r="AD90" i="25"/>
  <c r="AE90" i="25" s="1"/>
  <c r="W314" i="25"/>
  <c r="Z314" i="25" s="1"/>
  <c r="AA314" i="25" s="1"/>
  <c r="AB314" i="25" s="1"/>
  <c r="AD314" i="25"/>
  <c r="AE314" i="25" s="1"/>
  <c r="V311" i="25"/>
  <c r="U311" i="25"/>
  <c r="U296" i="25"/>
  <c r="V296" i="25"/>
  <c r="W313" i="25"/>
  <c r="Z313" i="25" s="1"/>
  <c r="AA313" i="25" s="1"/>
  <c r="AD313" i="25"/>
  <c r="AE313" i="25" s="1"/>
  <c r="V313" i="25"/>
  <c r="U313" i="25"/>
  <c r="V280" i="25"/>
  <c r="U280" i="25"/>
  <c r="AD286" i="25"/>
  <c r="AE286" i="25" s="1"/>
  <c r="W286" i="25"/>
  <c r="Z286" i="25" s="1"/>
  <c r="AA286" i="25" s="1"/>
  <c r="AB286" i="25" s="1"/>
  <c r="AO286" i="25"/>
  <c r="AO200" i="25"/>
  <c r="U234" i="25"/>
  <c r="V234" i="25"/>
  <c r="AD298" i="25"/>
  <c r="AE298" i="25" s="1"/>
  <c r="W298" i="25"/>
  <c r="Z298" i="25" s="1"/>
  <c r="AA298" i="25" s="1"/>
  <c r="AB298" i="25" s="1"/>
  <c r="AO298" i="25"/>
  <c r="AD195" i="25"/>
  <c r="AE195" i="25" s="1"/>
  <c r="W195" i="25"/>
  <c r="Z195" i="25" s="1"/>
  <c r="AA195" i="25" s="1"/>
  <c r="AO179" i="25"/>
  <c r="AD163" i="25"/>
  <c r="AE163" i="25" s="1"/>
  <c r="W163" i="25"/>
  <c r="Z163" i="25" s="1"/>
  <c r="AA163" i="25" s="1"/>
  <c r="AO147" i="25"/>
  <c r="AD131" i="25"/>
  <c r="AE131" i="25" s="1"/>
  <c r="W131" i="25"/>
  <c r="Z131" i="25" s="1"/>
  <c r="AA131" i="25" s="1"/>
  <c r="U263" i="25"/>
  <c r="V263" i="25"/>
  <c r="AD255" i="25"/>
  <c r="AE255" i="25" s="1"/>
  <c r="W255" i="25"/>
  <c r="Z255" i="25" s="1"/>
  <c r="AA255" i="25" s="1"/>
  <c r="AB255" i="25" s="1"/>
  <c r="AO255" i="25"/>
  <c r="U229" i="25"/>
  <c r="V229" i="25"/>
  <c r="AD198" i="25"/>
  <c r="AE198" i="25" s="1"/>
  <c r="W198" i="25"/>
  <c r="Z198" i="25" s="1"/>
  <c r="AA198" i="25" s="1"/>
  <c r="AB198" i="25" s="1"/>
  <c r="U198" i="25"/>
  <c r="V198" i="25"/>
  <c r="AD166" i="25"/>
  <c r="AE166" i="25" s="1"/>
  <c r="W166" i="25"/>
  <c r="Z166" i="25" s="1"/>
  <c r="AA166" i="25" s="1"/>
  <c r="AB166" i="25" s="1"/>
  <c r="U166" i="25"/>
  <c r="V166" i="25"/>
  <c r="AD134" i="25"/>
  <c r="AE134" i="25" s="1"/>
  <c r="W134" i="25"/>
  <c r="Z134" i="25" s="1"/>
  <c r="AA134" i="25" s="1"/>
  <c r="AB134" i="25" s="1"/>
  <c r="U134" i="25"/>
  <c r="V134" i="25"/>
  <c r="U193" i="25"/>
  <c r="V193" i="25"/>
  <c r="AD185" i="25"/>
  <c r="AE185" i="25" s="1"/>
  <c r="W185" i="25"/>
  <c r="Z185" i="25" s="1"/>
  <c r="AA185" i="25" s="1"/>
  <c r="AB185" i="25" s="1"/>
  <c r="U177" i="25"/>
  <c r="V177" i="25"/>
  <c r="AD169" i="25"/>
  <c r="AE169" i="25" s="1"/>
  <c r="W169" i="25"/>
  <c r="Z169" i="25" s="1"/>
  <c r="AA169" i="25" s="1"/>
  <c r="AB169" i="25" s="1"/>
  <c r="U161" i="25"/>
  <c r="V161" i="25"/>
  <c r="AD153" i="25"/>
  <c r="AE153" i="25" s="1"/>
  <c r="W153" i="25"/>
  <c r="Z153" i="25" s="1"/>
  <c r="AA153" i="25" s="1"/>
  <c r="AB153" i="25" s="1"/>
  <c r="U145" i="25"/>
  <c r="V145" i="25"/>
  <c r="AD137" i="25"/>
  <c r="AE137" i="25" s="1"/>
  <c r="W137" i="25"/>
  <c r="Z137" i="25" s="1"/>
  <c r="AA137" i="25" s="1"/>
  <c r="AB137" i="25" s="1"/>
  <c r="U129" i="25"/>
  <c r="V129" i="25"/>
  <c r="AD119" i="25"/>
  <c r="AE119" i="25" s="1"/>
  <c r="W119" i="25"/>
  <c r="Z119" i="25" s="1"/>
  <c r="AA119" i="25" s="1"/>
  <c r="AO119" i="25"/>
  <c r="V104" i="25"/>
  <c r="U104" i="25"/>
  <c r="V100" i="25"/>
  <c r="U100" i="25"/>
  <c r="V96" i="25"/>
  <c r="U96" i="25"/>
  <c r="V92" i="25"/>
  <c r="U92" i="25"/>
  <c r="U227" i="25"/>
  <c r="V227" i="25"/>
  <c r="AD219" i="25"/>
  <c r="AE219" i="25" s="1"/>
  <c r="W219" i="25"/>
  <c r="Z219" i="25" s="1"/>
  <c r="AA219" i="25" s="1"/>
  <c r="AO219" i="25"/>
  <c r="AO118" i="25"/>
  <c r="AO67" i="25"/>
  <c r="AO51" i="25"/>
  <c r="AO31" i="25"/>
  <c r="V31" i="25"/>
  <c r="U31" i="25"/>
  <c r="AO15" i="25"/>
  <c r="V85" i="25"/>
  <c r="U85" i="25"/>
  <c r="V61" i="25"/>
  <c r="U61" i="25"/>
  <c r="V29" i="25"/>
  <c r="U29" i="25"/>
  <c r="V302" i="25"/>
  <c r="U302" i="25"/>
  <c r="AD292" i="25"/>
  <c r="AE292" i="25" s="1"/>
  <c r="W292" i="25"/>
  <c r="Z292" i="25" s="1"/>
  <c r="AA292" i="25" s="1"/>
  <c r="AB292" i="25" s="1"/>
  <c r="AO292" i="25"/>
  <c r="AO312" i="25"/>
  <c r="V271" i="25"/>
  <c r="U271" i="25"/>
  <c r="AD276" i="25"/>
  <c r="AE276" i="25" s="1"/>
  <c r="W276" i="25"/>
  <c r="Z276" i="25" s="1"/>
  <c r="AA276" i="25" s="1"/>
  <c r="AB276" i="25" s="1"/>
  <c r="AO276" i="25"/>
  <c r="U233" i="25"/>
  <c r="V233" i="25"/>
  <c r="AD299" i="25"/>
  <c r="AE299" i="25" s="1"/>
  <c r="W299" i="25"/>
  <c r="Z299" i="25" s="1"/>
  <c r="AA299" i="25" s="1"/>
  <c r="U210" i="25"/>
  <c r="V210" i="25"/>
  <c r="AD202" i="25"/>
  <c r="AE202" i="25" s="1"/>
  <c r="W202" i="25"/>
  <c r="Z202" i="25" s="1"/>
  <c r="AA202" i="25" s="1"/>
  <c r="AB202" i="25" s="1"/>
  <c r="V191" i="25"/>
  <c r="U191" i="25"/>
  <c r="AD175" i="25"/>
  <c r="AE175" i="25" s="1"/>
  <c r="W175" i="25"/>
  <c r="Z175" i="25" s="1"/>
  <c r="AA175" i="25" s="1"/>
  <c r="V159" i="25"/>
  <c r="U159" i="25"/>
  <c r="AD143" i="25"/>
  <c r="AE143" i="25" s="1"/>
  <c r="W143" i="25"/>
  <c r="Z143" i="25" s="1"/>
  <c r="AA143" i="25" s="1"/>
  <c r="AD260" i="25"/>
  <c r="AE260" i="25" s="1"/>
  <c r="W260" i="25"/>
  <c r="Z260" i="25" s="1"/>
  <c r="AA260" i="25" s="1"/>
  <c r="AO260" i="25"/>
  <c r="U236" i="25"/>
  <c r="V236" i="25"/>
  <c r="AD225" i="25"/>
  <c r="AE225" i="25" s="1"/>
  <c r="W225" i="25"/>
  <c r="Z225" i="25" s="1"/>
  <c r="AA225" i="25" s="1"/>
  <c r="AO225" i="25"/>
  <c r="AO194" i="25"/>
  <c r="AO162" i="25"/>
  <c r="AD130" i="25"/>
  <c r="AE130" i="25" s="1"/>
  <c r="W130" i="25"/>
  <c r="Z130" i="25" s="1"/>
  <c r="AA130" i="25" s="1"/>
  <c r="AO192" i="25"/>
  <c r="AO160" i="25"/>
  <c r="AD99" i="25"/>
  <c r="AE99" i="25" s="1"/>
  <c r="W99" i="25"/>
  <c r="Z99" i="25" s="1"/>
  <c r="AA99" i="25" s="1"/>
  <c r="AB99" i="25" s="1"/>
  <c r="AD91" i="25"/>
  <c r="AE91" i="25" s="1"/>
  <c r="W91" i="25"/>
  <c r="Z91" i="25" s="1"/>
  <c r="AA91" i="25" s="1"/>
  <c r="AB91" i="25" s="1"/>
  <c r="V57" i="25"/>
  <c r="U57" i="25"/>
  <c r="V64" i="25"/>
  <c r="U64" i="25"/>
  <c r="AO291" i="25"/>
  <c r="AD171" i="25"/>
  <c r="AE171" i="25" s="1"/>
  <c r="W171" i="25"/>
  <c r="Z171" i="25" s="1"/>
  <c r="AA171" i="25" s="1"/>
  <c r="AB171" i="25" s="1"/>
  <c r="W278" i="25"/>
  <c r="Z278" i="25" s="1"/>
  <c r="AA278" i="25" s="1"/>
  <c r="AB278" i="25" s="1"/>
  <c r="AD278" i="25"/>
  <c r="AE278" i="25" s="1"/>
  <c r="U181" i="25"/>
  <c r="V181" i="25"/>
  <c r="U149" i="25"/>
  <c r="V149" i="25"/>
  <c r="U117" i="25"/>
  <c r="V117" i="25"/>
  <c r="AD60" i="25"/>
  <c r="AE60" i="25" s="1"/>
  <c r="W60" i="25"/>
  <c r="Z60" i="25" s="1"/>
  <c r="AA60" i="25" s="1"/>
  <c r="AB60" i="25" s="1"/>
  <c r="W24" i="25"/>
  <c r="Z24" i="25" s="1"/>
  <c r="AA24" i="25" s="1"/>
  <c r="AB24" i="25" s="1"/>
  <c r="AD24" i="25"/>
  <c r="AE24" i="25" s="1"/>
  <c r="AO283" i="25"/>
  <c r="V188" i="25"/>
  <c r="U188" i="25"/>
  <c r="AD75" i="25"/>
  <c r="AE75" i="25" s="1"/>
  <c r="W75" i="25"/>
  <c r="Z75" i="25" s="1"/>
  <c r="AA75" i="25" s="1"/>
  <c r="AB75" i="25" s="1"/>
  <c r="AD303" i="25"/>
  <c r="AE303" i="25" s="1"/>
  <c r="W303" i="25"/>
  <c r="Z303" i="25" s="1"/>
  <c r="AA303" i="25" s="1"/>
  <c r="AO313" i="25"/>
  <c r="U286" i="25"/>
  <c r="V286" i="25"/>
  <c r="AO253" i="25"/>
  <c r="AD220" i="25"/>
  <c r="AE220" i="25" s="1"/>
  <c r="W220" i="25"/>
  <c r="Z220" i="25" s="1"/>
  <c r="AA220" i="25" s="1"/>
  <c r="AB220" i="25" s="1"/>
  <c r="V195" i="25"/>
  <c r="U195" i="25"/>
  <c r="V163" i="25"/>
  <c r="U163" i="25"/>
  <c r="V131" i="25"/>
  <c r="U131" i="25"/>
  <c r="AO270" i="25"/>
  <c r="U255" i="25"/>
  <c r="V255" i="25"/>
  <c r="AO137" i="25"/>
  <c r="AD118" i="25"/>
  <c r="AE118" i="25" s="1"/>
  <c r="W118" i="25"/>
  <c r="Z118" i="25" s="1"/>
  <c r="AA118" i="25" s="1"/>
  <c r="V15" i="25"/>
  <c r="U15" i="25"/>
  <c r="W82" i="25"/>
  <c r="Z82" i="25" s="1"/>
  <c r="AA82" i="25" s="1"/>
  <c r="AB82" i="25" s="1"/>
  <c r="AD82" i="25"/>
  <c r="AE82" i="25" s="1"/>
  <c r="AO66" i="25"/>
  <c r="W52" i="25"/>
  <c r="Z52" i="25" s="1"/>
  <c r="AA52" i="25" s="1"/>
  <c r="AB52" i="25" s="1"/>
  <c r="AD52" i="25"/>
  <c r="AE52" i="25" s="1"/>
  <c r="AD81" i="25"/>
  <c r="AE81" i="25" s="1"/>
  <c r="W81" i="25"/>
  <c r="Z81" i="25" s="1"/>
  <c r="AA81" i="25" s="1"/>
  <c r="AB81" i="25" s="1"/>
  <c r="AD41" i="25"/>
  <c r="AE41" i="25" s="1"/>
  <c r="W41" i="25"/>
  <c r="Z41" i="25" s="1"/>
  <c r="AA41" i="25" s="1"/>
  <c r="AB41" i="25" s="1"/>
  <c r="W310" i="25"/>
  <c r="Z310" i="25" s="1"/>
  <c r="AA310" i="25" s="1"/>
  <c r="AB310" i="25" s="1"/>
  <c r="AD310" i="25"/>
  <c r="AE310" i="25" s="1"/>
  <c r="AO302" i="25"/>
  <c r="AD312" i="25"/>
  <c r="AE312" i="25" s="1"/>
  <c r="W312" i="25"/>
  <c r="Z312" i="25" s="1"/>
  <c r="AA312" i="25" s="1"/>
  <c r="AB312" i="25" s="1"/>
  <c r="AD265" i="25"/>
  <c r="AE265" i="25" s="1"/>
  <c r="W265" i="25"/>
  <c r="Z265" i="25" s="1"/>
  <c r="AA265" i="25" s="1"/>
  <c r="AB265" i="25" s="1"/>
  <c r="AO299" i="25"/>
  <c r="AO262" i="25"/>
  <c r="AO282" i="25"/>
  <c r="AO202" i="25"/>
  <c r="AO175" i="25"/>
  <c r="AD252" i="25"/>
  <c r="AE252" i="25" s="1"/>
  <c r="W252" i="25"/>
  <c r="Z252" i="25" s="1"/>
  <c r="AA252" i="25" s="1"/>
  <c r="U194" i="25"/>
  <c r="V194" i="25"/>
  <c r="AO130" i="25"/>
  <c r="W176" i="25"/>
  <c r="Z176" i="25" s="1"/>
  <c r="AA176" i="25" s="1"/>
  <c r="AD176" i="25"/>
  <c r="AE176" i="25" s="1"/>
  <c r="V160" i="25"/>
  <c r="U160" i="25"/>
  <c r="V128" i="25"/>
  <c r="U128" i="25"/>
  <c r="V103" i="25"/>
  <c r="U103" i="25"/>
  <c r="AO63" i="25"/>
  <c r="V77" i="25"/>
  <c r="U77" i="25"/>
  <c r="AO288" i="25"/>
  <c r="U221" i="25"/>
  <c r="V221" i="25"/>
  <c r="AD165" i="25"/>
  <c r="AE165" i="25" s="1"/>
  <c r="W165" i="25"/>
  <c r="Z165" i="25" s="1"/>
  <c r="AA165" i="25" s="1"/>
  <c r="AB165" i="25" s="1"/>
  <c r="V94" i="25"/>
  <c r="U94" i="25"/>
  <c r="W9" i="25"/>
  <c r="Z9" i="25" s="1"/>
  <c r="AA9" i="25" s="1"/>
  <c r="AB9" i="25" s="1"/>
  <c r="AD9" i="25"/>
  <c r="AE9" i="25" s="1"/>
  <c r="V314" i="25"/>
  <c r="U314" i="25"/>
  <c r="V303" i="25"/>
  <c r="U303" i="25"/>
  <c r="W311" i="25"/>
  <c r="Z311" i="25" s="1"/>
  <c r="AA311" i="25" s="1"/>
  <c r="AD311" i="25"/>
  <c r="AE311" i="25" s="1"/>
  <c r="AO311" i="25"/>
  <c r="U289" i="25"/>
  <c r="V289" i="25"/>
  <c r="W275" i="25"/>
  <c r="Z275" i="25" s="1"/>
  <c r="AA275" i="25" s="1"/>
  <c r="AB275" i="25" s="1"/>
  <c r="AD275" i="25"/>
  <c r="AE275" i="25" s="1"/>
  <c r="U253" i="25"/>
  <c r="V253" i="25"/>
  <c r="AD237" i="25"/>
  <c r="AE237" i="25" s="1"/>
  <c r="W237" i="25"/>
  <c r="Z237" i="25" s="1"/>
  <c r="AA237" i="25" s="1"/>
  <c r="AO237" i="25"/>
  <c r="V200" i="25"/>
  <c r="U200" i="25"/>
  <c r="U266" i="25"/>
  <c r="V266" i="25"/>
  <c r="AD250" i="25"/>
  <c r="AE250" i="25" s="1"/>
  <c r="W250" i="25"/>
  <c r="Z250" i="25" s="1"/>
  <c r="AA250" i="25" s="1"/>
  <c r="AO250" i="25"/>
  <c r="U220" i="25"/>
  <c r="V220" i="25"/>
  <c r="W205" i="25"/>
  <c r="Z205" i="25" s="1"/>
  <c r="AA205" i="25" s="1"/>
  <c r="AB205" i="25" s="1"/>
  <c r="AD205" i="25"/>
  <c r="AE205" i="25" s="1"/>
  <c r="AO195" i="25"/>
  <c r="AD179" i="25"/>
  <c r="AE179" i="25" s="1"/>
  <c r="W179" i="25"/>
  <c r="Z179" i="25" s="1"/>
  <c r="AA179" i="25" s="1"/>
  <c r="AO163" i="25"/>
  <c r="AD147" i="25"/>
  <c r="AE147" i="25" s="1"/>
  <c r="W147" i="25"/>
  <c r="Z147" i="25" s="1"/>
  <c r="AA147" i="25" s="1"/>
  <c r="AO131" i="25"/>
  <c r="W270" i="25"/>
  <c r="Z270" i="25" s="1"/>
  <c r="AA270" i="25" s="1"/>
  <c r="AD270" i="25"/>
  <c r="AE270" i="25" s="1"/>
  <c r="V270" i="25"/>
  <c r="U270" i="25"/>
  <c r="U247" i="25"/>
  <c r="V247" i="25"/>
  <c r="AD239" i="25"/>
  <c r="AE239" i="25" s="1"/>
  <c r="W239" i="25"/>
  <c r="Z239" i="25" s="1"/>
  <c r="AA239" i="25" s="1"/>
  <c r="AO239" i="25"/>
  <c r="AD182" i="25"/>
  <c r="AE182" i="25" s="1"/>
  <c r="W182" i="25"/>
  <c r="Z182" i="25" s="1"/>
  <c r="AA182" i="25" s="1"/>
  <c r="AB182" i="25" s="1"/>
  <c r="U182" i="25"/>
  <c r="V182" i="25"/>
  <c r="AD150" i="25"/>
  <c r="AE150" i="25" s="1"/>
  <c r="W150" i="25"/>
  <c r="Z150" i="25" s="1"/>
  <c r="AA150" i="25" s="1"/>
  <c r="AB150" i="25" s="1"/>
  <c r="U150" i="25"/>
  <c r="V150" i="25"/>
  <c r="AD193" i="25"/>
  <c r="AE193" i="25" s="1"/>
  <c r="W193" i="25"/>
  <c r="Z193" i="25" s="1"/>
  <c r="AA193" i="25" s="1"/>
  <c r="U185" i="25"/>
  <c r="V185" i="25"/>
  <c r="AD177" i="25"/>
  <c r="AE177" i="25" s="1"/>
  <c r="W177" i="25"/>
  <c r="Z177" i="25" s="1"/>
  <c r="AA177" i="25" s="1"/>
  <c r="U169" i="25"/>
  <c r="V169" i="25"/>
  <c r="AD161" i="25"/>
  <c r="AE161" i="25" s="1"/>
  <c r="W161" i="25"/>
  <c r="Z161" i="25" s="1"/>
  <c r="AA161" i="25" s="1"/>
  <c r="U153" i="25"/>
  <c r="V153" i="25"/>
  <c r="AD145" i="25"/>
  <c r="AE145" i="25" s="1"/>
  <c r="W145" i="25"/>
  <c r="Z145" i="25" s="1"/>
  <c r="AA145" i="25" s="1"/>
  <c r="U137" i="25"/>
  <c r="V137" i="25"/>
  <c r="AD129" i="25"/>
  <c r="AE129" i="25" s="1"/>
  <c r="W129" i="25"/>
  <c r="Z129" i="25" s="1"/>
  <c r="AA129" i="25" s="1"/>
  <c r="AD104" i="25"/>
  <c r="AE104" i="25" s="1"/>
  <c r="W104" i="25"/>
  <c r="Z104" i="25" s="1"/>
  <c r="AA104" i="25" s="1"/>
  <c r="AB104" i="25" s="1"/>
  <c r="AD100" i="25"/>
  <c r="AE100" i="25" s="1"/>
  <c r="W100" i="25"/>
  <c r="Z100" i="25" s="1"/>
  <c r="AA100" i="25" s="1"/>
  <c r="AB100" i="25" s="1"/>
  <c r="AO100" i="25"/>
  <c r="AD96" i="25"/>
  <c r="AE96" i="25" s="1"/>
  <c r="W96" i="25"/>
  <c r="Z96" i="25" s="1"/>
  <c r="AA96" i="25" s="1"/>
  <c r="AB96" i="25" s="1"/>
  <c r="AD92" i="25"/>
  <c r="AE92" i="25" s="1"/>
  <c r="W92" i="25"/>
  <c r="Z92" i="25" s="1"/>
  <c r="AA92" i="25" s="1"/>
  <c r="AB92" i="25" s="1"/>
  <c r="AO92" i="25"/>
  <c r="AD273" i="25"/>
  <c r="AE273" i="25" s="1"/>
  <c r="W273" i="25"/>
  <c r="Z273" i="25" s="1"/>
  <c r="AA273" i="25" s="1"/>
  <c r="V67" i="25"/>
  <c r="U67" i="25"/>
  <c r="AO61" i="25"/>
  <c r="AO11" i="25"/>
  <c r="AO7" i="25"/>
  <c r="AO82" i="25"/>
  <c r="AO84" i="25"/>
  <c r="AO68" i="25"/>
  <c r="AO52" i="25"/>
  <c r="V32" i="25"/>
  <c r="U32" i="25"/>
  <c r="AO32" i="25"/>
  <c r="V16" i="25"/>
  <c r="U16" i="25"/>
  <c r="AO16" i="25"/>
  <c r="AO81" i="25"/>
  <c r="V81" i="25"/>
  <c r="U81" i="25"/>
  <c r="AO41" i="25"/>
  <c r="V41" i="25"/>
  <c r="U41" i="25"/>
  <c r="AO46" i="25"/>
  <c r="AO26" i="25"/>
  <c r="V310" i="25"/>
  <c r="U310" i="25"/>
  <c r="AD302" i="25"/>
  <c r="AE302" i="25" s="1"/>
  <c r="W302" i="25"/>
  <c r="Z302" i="25" s="1"/>
  <c r="AA302" i="25" s="1"/>
  <c r="V312" i="25"/>
  <c r="U312" i="25"/>
  <c r="AD285" i="25"/>
  <c r="AE285" i="25" s="1"/>
  <c r="W285" i="25"/>
  <c r="Z285" i="25" s="1"/>
  <c r="AA285" i="25" s="1"/>
  <c r="AO285" i="25"/>
  <c r="AO271" i="25"/>
  <c r="U265" i="25"/>
  <c r="V265" i="25"/>
  <c r="AD249" i="25"/>
  <c r="AE249" i="25" s="1"/>
  <c r="W249" i="25"/>
  <c r="Z249" i="25" s="1"/>
  <c r="AA249" i="25" s="1"/>
  <c r="AO249" i="25"/>
  <c r="U262" i="25"/>
  <c r="V262" i="25"/>
  <c r="AD246" i="25"/>
  <c r="AE246" i="25" s="1"/>
  <c r="W246" i="25"/>
  <c r="Z246" i="25" s="1"/>
  <c r="AA246" i="25" s="1"/>
  <c r="AO246" i="25"/>
  <c r="AO207" i="25"/>
  <c r="U282" i="25"/>
  <c r="V282" i="25"/>
  <c r="AD210" i="25"/>
  <c r="AE210" i="25" s="1"/>
  <c r="W210" i="25"/>
  <c r="Z210" i="25" s="1"/>
  <c r="AA210" i="25" s="1"/>
  <c r="U202" i="25"/>
  <c r="V202" i="25"/>
  <c r="AD191" i="25"/>
  <c r="AE191" i="25" s="1"/>
  <c r="W191" i="25"/>
  <c r="Z191" i="25" s="1"/>
  <c r="AA191" i="25" s="1"/>
  <c r="V175" i="25"/>
  <c r="U175" i="25"/>
  <c r="AD159" i="25"/>
  <c r="AE159" i="25" s="1"/>
  <c r="W159" i="25"/>
  <c r="Z159" i="25" s="1"/>
  <c r="AA159" i="25" s="1"/>
  <c r="V143" i="25"/>
  <c r="U143" i="25"/>
  <c r="AD287" i="25"/>
  <c r="AE287" i="25" s="1"/>
  <c r="W287" i="25"/>
  <c r="Z287" i="25" s="1"/>
  <c r="AA287" i="25" s="1"/>
  <c r="AO287" i="25"/>
  <c r="U268" i="25"/>
  <c r="V268" i="25"/>
  <c r="U252" i="25"/>
  <c r="V252" i="25"/>
  <c r="AD244" i="25"/>
  <c r="AE244" i="25" s="1"/>
  <c r="W244" i="25"/>
  <c r="Z244" i="25" s="1"/>
  <c r="AA244" i="25" s="1"/>
  <c r="AO244" i="25"/>
  <c r="AO178" i="25"/>
  <c r="U146" i="25"/>
  <c r="V146" i="25"/>
  <c r="U130" i="25"/>
  <c r="V130" i="25"/>
  <c r="AO176" i="25"/>
  <c r="AD103" i="25"/>
  <c r="AE103" i="25" s="1"/>
  <c r="W103" i="25"/>
  <c r="Z103" i="25" s="1"/>
  <c r="AA103" i="25" s="1"/>
  <c r="AB103" i="25" s="1"/>
  <c r="V91" i="25"/>
  <c r="U91" i="25"/>
  <c r="AD291" i="25"/>
  <c r="AE291" i="25" s="1"/>
  <c r="W291" i="25"/>
  <c r="Z291" i="25" s="1"/>
  <c r="AA291" i="25" s="1"/>
  <c r="AB291" i="25" s="1"/>
  <c r="V278" i="25"/>
  <c r="U278" i="25"/>
  <c r="AD174" i="25"/>
  <c r="AE174" i="25" s="1"/>
  <c r="W174" i="25"/>
  <c r="Z174" i="25" s="1"/>
  <c r="AA174" i="25" s="1"/>
  <c r="V304" i="25"/>
  <c r="U304" i="25"/>
  <c r="AO217" i="25"/>
  <c r="AD55" i="25"/>
  <c r="AE55" i="25" s="1"/>
  <c r="W55" i="25"/>
  <c r="Z55" i="25" s="1"/>
  <c r="AA55" i="25" s="1"/>
  <c r="AB55" i="25" s="1"/>
  <c r="AO314" i="25"/>
  <c r="AO303" i="25"/>
  <c r="AO289" i="25"/>
  <c r="AO275" i="25"/>
  <c r="AD266" i="25"/>
  <c r="AE266" i="25" s="1"/>
  <c r="W266" i="25"/>
  <c r="Z266" i="25" s="1"/>
  <c r="AA266" i="25" s="1"/>
  <c r="U298" i="25"/>
  <c r="V298" i="25"/>
  <c r="AO220" i="25"/>
  <c r="AO247" i="25"/>
  <c r="AO150" i="25"/>
  <c r="AO169" i="25"/>
  <c r="V119" i="25"/>
  <c r="U119" i="25"/>
  <c r="V118" i="25"/>
  <c r="U118" i="25"/>
  <c r="V116" i="25"/>
  <c r="U116" i="25"/>
  <c r="AD84" i="25"/>
  <c r="AE84" i="25" s="1"/>
  <c r="W84" i="25"/>
  <c r="Z84" i="25" s="1"/>
  <c r="AA84" i="25" s="1"/>
  <c r="AB84" i="25" s="1"/>
  <c r="W32" i="25"/>
  <c r="Z32" i="25" s="1"/>
  <c r="AA32" i="25" s="1"/>
  <c r="AB32" i="25" s="1"/>
  <c r="AD32" i="25"/>
  <c r="AE32" i="25" s="1"/>
  <c r="W46" i="25"/>
  <c r="Z46" i="25" s="1"/>
  <c r="AA46" i="25" s="1"/>
  <c r="AB46" i="25" s="1"/>
  <c r="AD46" i="25"/>
  <c r="AE46" i="25" s="1"/>
  <c r="W26" i="25"/>
  <c r="Z26" i="25" s="1"/>
  <c r="AA26" i="25" s="1"/>
  <c r="AB26" i="25" s="1"/>
  <c r="AD26" i="25"/>
  <c r="AE26" i="25" s="1"/>
  <c r="V307" i="25"/>
  <c r="U307" i="25"/>
  <c r="V276" i="25"/>
  <c r="U276" i="25"/>
  <c r="AD262" i="25"/>
  <c r="AE262" i="25" s="1"/>
  <c r="W262" i="25"/>
  <c r="Z262" i="25" s="1"/>
  <c r="AA262" i="25" s="1"/>
  <c r="U225" i="25"/>
  <c r="V225" i="25"/>
  <c r="U162" i="25"/>
  <c r="V162" i="25"/>
  <c r="V184" i="25"/>
  <c r="U184" i="25"/>
  <c r="V152" i="25"/>
  <c r="U152" i="25"/>
  <c r="V136" i="25"/>
  <c r="U136" i="25"/>
  <c r="AO115" i="25"/>
  <c r="V272" i="25"/>
  <c r="U272" i="25"/>
  <c r="AO139" i="25"/>
  <c r="AD189" i="25"/>
  <c r="AE189" i="25" s="1"/>
  <c r="W189" i="25"/>
  <c r="Z189" i="25" s="1"/>
  <c r="AA189" i="25" s="1"/>
  <c r="AB189" i="25" s="1"/>
  <c r="V102" i="25"/>
  <c r="U102" i="25"/>
  <c r="AD49" i="25"/>
  <c r="AE49" i="25" s="1"/>
  <c r="W49" i="25"/>
  <c r="Z49" i="25" s="1"/>
  <c r="AA49" i="25" s="1"/>
  <c r="AB49" i="25" s="1"/>
  <c r="W54" i="25"/>
  <c r="Z54" i="25" s="1"/>
  <c r="AA54" i="25" s="1"/>
  <c r="AB54" i="25" s="1"/>
  <c r="AD54" i="25"/>
  <c r="AE54" i="25" s="1"/>
  <c r="AD296" i="25"/>
  <c r="AE296" i="25" s="1"/>
  <c r="W296" i="25"/>
  <c r="Z296" i="25" s="1"/>
  <c r="AA296" i="25" s="1"/>
  <c r="AO296" i="25"/>
  <c r="V275" i="25"/>
  <c r="U275" i="25"/>
  <c r="AD280" i="25"/>
  <c r="AE280" i="25" s="1"/>
  <c r="W280" i="25"/>
  <c r="Z280" i="25" s="1"/>
  <c r="AA280" i="25" s="1"/>
  <c r="AO280" i="25"/>
  <c r="U237" i="25"/>
  <c r="V237" i="25"/>
  <c r="AD200" i="25"/>
  <c r="AE200" i="25" s="1"/>
  <c r="W200" i="25"/>
  <c r="Z200" i="25" s="1"/>
  <c r="AA200" i="25" s="1"/>
  <c r="U250" i="25"/>
  <c r="V250" i="25"/>
  <c r="AD234" i="25"/>
  <c r="AE234" i="25" s="1"/>
  <c r="W234" i="25"/>
  <c r="Z234" i="25" s="1"/>
  <c r="AA234" i="25" s="1"/>
  <c r="AO234" i="25"/>
  <c r="AO205" i="25"/>
  <c r="V179" i="25"/>
  <c r="U179" i="25"/>
  <c r="V147" i="25"/>
  <c r="U147" i="25"/>
  <c r="AD263" i="25"/>
  <c r="AE263" i="25" s="1"/>
  <c r="W263" i="25"/>
  <c r="Z263" i="25" s="1"/>
  <c r="AA263" i="25" s="1"/>
  <c r="AO263" i="25"/>
  <c r="U239" i="25"/>
  <c r="V239" i="25"/>
  <c r="AD229" i="25"/>
  <c r="AE229" i="25" s="1"/>
  <c r="W229" i="25"/>
  <c r="Z229" i="25" s="1"/>
  <c r="AA229" i="25" s="1"/>
  <c r="AO229" i="25"/>
  <c r="AO198" i="25"/>
  <c r="AO166" i="25"/>
  <c r="AO134" i="25"/>
  <c r="AO193" i="25"/>
  <c r="AO177" i="25"/>
  <c r="AO161" i="25"/>
  <c r="AO145" i="25"/>
  <c r="AO129" i="25"/>
  <c r="AO104" i="25"/>
  <c r="AO96" i="25"/>
  <c r="V273" i="25"/>
  <c r="U273" i="25"/>
  <c r="AD227" i="25"/>
  <c r="AE227" i="25" s="1"/>
  <c r="W227" i="25"/>
  <c r="Z227" i="25" s="1"/>
  <c r="AA227" i="25" s="1"/>
  <c r="AO227" i="25"/>
  <c r="W83" i="25"/>
  <c r="Z83" i="25" s="1"/>
  <c r="AA83" i="25" s="1"/>
  <c r="AB83" i="25" s="1"/>
  <c r="AD83" i="25"/>
  <c r="AE83" i="25" s="1"/>
  <c r="V83" i="25"/>
  <c r="U83" i="25"/>
  <c r="AD67" i="25"/>
  <c r="AE67" i="25" s="1"/>
  <c r="W67" i="25"/>
  <c r="Z67" i="25" s="1"/>
  <c r="AA67" i="25" s="1"/>
  <c r="AB67" i="25" s="1"/>
  <c r="W51" i="25"/>
  <c r="Z51" i="25" s="1"/>
  <c r="AA51" i="25" s="1"/>
  <c r="AB51" i="25" s="1"/>
  <c r="AD51" i="25"/>
  <c r="AE51" i="25" s="1"/>
  <c r="V51" i="25"/>
  <c r="U51" i="25"/>
  <c r="W31" i="25"/>
  <c r="Z31" i="25" s="1"/>
  <c r="AA31" i="25" s="1"/>
  <c r="AB31" i="25" s="1"/>
  <c r="AD31" i="25"/>
  <c r="AE31" i="25" s="1"/>
  <c r="AD15" i="25"/>
  <c r="AE15" i="25" s="1"/>
  <c r="W15" i="25"/>
  <c r="Z15" i="25" s="1"/>
  <c r="AA15" i="25" s="1"/>
  <c r="AB15" i="25" s="1"/>
  <c r="AD85" i="25"/>
  <c r="AE85" i="25" s="1"/>
  <c r="W85" i="25"/>
  <c r="Z85" i="25" s="1"/>
  <c r="AA85" i="25" s="1"/>
  <c r="AB85" i="25" s="1"/>
  <c r="AD61" i="25"/>
  <c r="AE61" i="25" s="1"/>
  <c r="W61" i="25"/>
  <c r="Z61" i="25" s="1"/>
  <c r="AA61" i="25" s="1"/>
  <c r="AB61" i="25" s="1"/>
  <c r="AD29" i="25"/>
  <c r="AE29" i="25" s="1"/>
  <c r="W29" i="25"/>
  <c r="Z29" i="25" s="1"/>
  <c r="AA29" i="25" s="1"/>
  <c r="AB29" i="25" s="1"/>
  <c r="W11" i="25"/>
  <c r="Z11" i="25" s="1"/>
  <c r="AA11" i="25" s="1"/>
  <c r="AB11" i="25" s="1"/>
  <c r="AD11" i="25"/>
  <c r="AE11" i="25" s="1"/>
  <c r="U11" i="25"/>
  <c r="V11" i="25"/>
  <c r="W7" i="25"/>
  <c r="Z7" i="25" s="1"/>
  <c r="AA7" i="25" s="1"/>
  <c r="AB7" i="25" s="1"/>
  <c r="AD7" i="25"/>
  <c r="AE7" i="25" s="1"/>
  <c r="U7" i="25"/>
  <c r="V7" i="25"/>
  <c r="AD116" i="25"/>
  <c r="AE116" i="25" s="1"/>
  <c r="W116" i="25"/>
  <c r="Z116" i="25" s="1"/>
  <c r="AA116" i="25" s="1"/>
  <c r="AO116" i="25"/>
  <c r="V82" i="25"/>
  <c r="U82" i="25"/>
  <c r="V66" i="25"/>
  <c r="U66" i="25"/>
  <c r="V84" i="25"/>
  <c r="U84" i="25"/>
  <c r="V68" i="25"/>
  <c r="U68" i="25"/>
  <c r="V52" i="25"/>
  <c r="U52" i="25"/>
  <c r="V46" i="25"/>
  <c r="U46" i="25"/>
  <c r="V36" i="25"/>
  <c r="U36" i="25"/>
  <c r="V26" i="25"/>
  <c r="U26" i="25"/>
  <c r="AO310" i="25"/>
  <c r="AD307" i="25"/>
  <c r="AE307" i="25" s="1"/>
  <c r="W307" i="25"/>
  <c r="Z307" i="25" s="1"/>
  <c r="AA307" i="25" s="1"/>
  <c r="AO307" i="25"/>
  <c r="U285" i="25"/>
  <c r="V285" i="25"/>
  <c r="W271" i="25"/>
  <c r="Z271" i="25" s="1"/>
  <c r="AA271" i="25" s="1"/>
  <c r="AB271" i="25" s="1"/>
  <c r="AD271" i="25"/>
  <c r="AE271" i="25" s="1"/>
  <c r="U249" i="25"/>
  <c r="V249" i="25"/>
  <c r="AD233" i="25"/>
  <c r="AE233" i="25" s="1"/>
  <c r="W233" i="25"/>
  <c r="Z233" i="25" s="1"/>
  <c r="AA233" i="25" s="1"/>
  <c r="AO233" i="25"/>
  <c r="U246" i="25"/>
  <c r="V246" i="25"/>
  <c r="AD207" i="25"/>
  <c r="AE207" i="25" s="1"/>
  <c r="W207" i="25"/>
  <c r="Z207" i="25" s="1"/>
  <c r="AA207" i="25" s="1"/>
  <c r="AB207" i="25" s="1"/>
  <c r="U207" i="25"/>
  <c r="V207" i="25"/>
  <c r="AO210" i="25"/>
  <c r="AO191" i="25"/>
  <c r="AO159" i="25"/>
  <c r="U287" i="25"/>
  <c r="V287" i="25"/>
  <c r="AD268" i="25"/>
  <c r="AE268" i="25" s="1"/>
  <c r="W268" i="25"/>
  <c r="Z268" i="25" s="1"/>
  <c r="AA268" i="25" s="1"/>
  <c r="U244" i="25"/>
  <c r="V244" i="25"/>
  <c r="AD236" i="25"/>
  <c r="AE236" i="25" s="1"/>
  <c r="W236" i="25"/>
  <c r="Z236" i="25" s="1"/>
  <c r="AA236" i="25" s="1"/>
  <c r="AO236" i="25"/>
  <c r="AD178" i="25"/>
  <c r="AE178" i="25" s="1"/>
  <c r="W178" i="25"/>
  <c r="Z178" i="25" s="1"/>
  <c r="AA178" i="25" s="1"/>
  <c r="AB178" i="25" s="1"/>
  <c r="U178" i="25"/>
  <c r="V178" i="25"/>
  <c r="AD146" i="25"/>
  <c r="AE146" i="25" s="1"/>
  <c r="W146" i="25"/>
  <c r="Z146" i="25" s="1"/>
  <c r="AA146" i="25" s="1"/>
  <c r="W192" i="25"/>
  <c r="Z192" i="25" s="1"/>
  <c r="AA192" i="25" s="1"/>
  <c r="AD192" i="25"/>
  <c r="AE192" i="25" s="1"/>
  <c r="W184" i="25"/>
  <c r="Z184" i="25" s="1"/>
  <c r="AA184" i="25" s="1"/>
  <c r="AB184" i="25" s="1"/>
  <c r="AD184" i="25"/>
  <c r="AE184" i="25" s="1"/>
  <c r="V176" i="25"/>
  <c r="U176" i="25"/>
  <c r="V168" i="25"/>
  <c r="U168" i="25"/>
  <c r="W160" i="25"/>
  <c r="Z160" i="25" s="1"/>
  <c r="AA160" i="25" s="1"/>
  <c r="AD160" i="25"/>
  <c r="AE160" i="25" s="1"/>
  <c r="W152" i="25"/>
  <c r="Z152" i="25" s="1"/>
  <c r="AA152" i="25" s="1"/>
  <c r="AD152" i="25"/>
  <c r="AE152" i="25" s="1"/>
  <c r="W144" i="25"/>
  <c r="Z144" i="25" s="1"/>
  <c r="AA144" i="25" s="1"/>
  <c r="AD144" i="25"/>
  <c r="AE144" i="25" s="1"/>
  <c r="W136" i="25"/>
  <c r="Z136" i="25" s="1"/>
  <c r="AA136" i="25" s="1"/>
  <c r="AD136" i="25"/>
  <c r="AE136" i="25" s="1"/>
  <c r="W128" i="25"/>
  <c r="Z128" i="25" s="1"/>
  <c r="AA128" i="25" s="1"/>
  <c r="AD128" i="25"/>
  <c r="AE128" i="25" s="1"/>
  <c r="AD115" i="25"/>
  <c r="AE115" i="25" s="1"/>
  <c r="W115" i="25"/>
  <c r="Z115" i="25" s="1"/>
  <c r="AA115" i="25" s="1"/>
  <c r="AB115" i="25" s="1"/>
  <c r="V99" i="25"/>
  <c r="U99" i="25"/>
  <c r="V95" i="25"/>
  <c r="U95" i="25"/>
  <c r="AD269" i="25"/>
  <c r="AE269" i="25" s="1"/>
  <c r="W269" i="25"/>
  <c r="Z269" i="25" s="1"/>
  <c r="AA269" i="25" s="1"/>
  <c r="AB269" i="25" s="1"/>
  <c r="V25" i="25"/>
  <c r="U25" i="25"/>
  <c r="AD288" i="25"/>
  <c r="AE288" i="25" s="1"/>
  <c r="W288" i="25"/>
  <c r="Z288" i="25" s="1"/>
  <c r="AA288" i="25" s="1"/>
  <c r="AB288" i="25" s="1"/>
  <c r="AO261" i="25"/>
  <c r="U174" i="25"/>
  <c r="V174" i="25"/>
  <c r="W38" i="25"/>
  <c r="Z38" i="25" s="1"/>
  <c r="AA38" i="25" s="1"/>
  <c r="AB38" i="25" s="1"/>
  <c r="AD38" i="25"/>
  <c r="AE38" i="25" s="1"/>
  <c r="V18" i="25"/>
  <c r="U18" i="25"/>
  <c r="AD224" i="25"/>
  <c r="AE224" i="25" s="1"/>
  <c r="W224" i="25"/>
  <c r="Z224" i="25" s="1"/>
  <c r="AA224" i="25" s="1"/>
  <c r="AB224" i="25" s="1"/>
  <c r="V199" i="25"/>
  <c r="U199" i="25"/>
  <c r="V151" i="25"/>
  <c r="U151" i="25"/>
  <c r="AD73" i="25"/>
  <c r="AE73" i="25" s="1"/>
  <c r="W73" i="25"/>
  <c r="Z73" i="25" s="1"/>
  <c r="AA73" i="25" s="1"/>
  <c r="AB73" i="25" s="1"/>
  <c r="AO146" i="25"/>
  <c r="AO184" i="25"/>
  <c r="AO168" i="25"/>
  <c r="AO152" i="25"/>
  <c r="AO136" i="25"/>
  <c r="V115" i="25"/>
  <c r="U115" i="25"/>
  <c r="AO103" i="25"/>
  <c r="AO99" i="25"/>
  <c r="AO95" i="25"/>
  <c r="AO91" i="25"/>
  <c r="AO269" i="25"/>
  <c r="U218" i="25"/>
  <c r="V218" i="25"/>
  <c r="AD114" i="25"/>
  <c r="AE114" i="25" s="1"/>
  <c r="W114" i="25"/>
  <c r="Z114" i="25" s="1"/>
  <c r="AA114" i="25" s="1"/>
  <c r="AB114" i="25" s="1"/>
  <c r="V114" i="25"/>
  <c r="U114" i="25"/>
  <c r="U125" i="25"/>
  <c r="V125" i="25"/>
  <c r="AD77" i="25"/>
  <c r="AE77" i="25" s="1"/>
  <c r="W77" i="25"/>
  <c r="Z77" i="25" s="1"/>
  <c r="AA77" i="25" s="1"/>
  <c r="AB77" i="25" s="1"/>
  <c r="AD57" i="25"/>
  <c r="AE57" i="25" s="1"/>
  <c r="W57" i="25"/>
  <c r="Z57" i="25" s="1"/>
  <c r="AA57" i="25" s="1"/>
  <c r="AB57" i="25" s="1"/>
  <c r="AD25" i="25"/>
  <c r="AE25" i="25" s="1"/>
  <c r="W25" i="25"/>
  <c r="Z25" i="25" s="1"/>
  <c r="AA25" i="25" s="1"/>
  <c r="AB25" i="25" s="1"/>
  <c r="W10" i="25"/>
  <c r="Z10" i="25" s="1"/>
  <c r="AA10" i="25" s="1"/>
  <c r="AB10" i="25" s="1"/>
  <c r="AD10" i="25"/>
  <c r="AE10" i="25" s="1"/>
  <c r="U10" i="25"/>
  <c r="V10" i="25"/>
  <c r="W6" i="25"/>
  <c r="Z6" i="25" s="1"/>
  <c r="AA6" i="25" s="1"/>
  <c r="AB6" i="25" s="1"/>
  <c r="AD6" i="25"/>
  <c r="AE6" i="25" s="1"/>
  <c r="AD112" i="25"/>
  <c r="AE112" i="25" s="1"/>
  <c r="W112" i="25"/>
  <c r="Z112" i="25" s="1"/>
  <c r="AA112" i="25" s="1"/>
  <c r="AO112" i="25"/>
  <c r="V78" i="25"/>
  <c r="U78" i="25"/>
  <c r="V80" i="25"/>
  <c r="U80" i="25"/>
  <c r="V42" i="25"/>
  <c r="U42" i="25"/>
  <c r="V35" i="25"/>
  <c r="U35" i="25"/>
  <c r="V22" i="25"/>
  <c r="U22" i="25"/>
  <c r="V306" i="25"/>
  <c r="U306" i="25"/>
  <c r="V301" i="25"/>
  <c r="U301" i="25"/>
  <c r="AD305" i="25"/>
  <c r="AE305" i="25" s="1"/>
  <c r="W305" i="25"/>
  <c r="Z305" i="25" s="1"/>
  <c r="AA305" i="25" s="1"/>
  <c r="U281" i="25"/>
  <c r="V281" i="25"/>
  <c r="AD272" i="25"/>
  <c r="AE272" i="25" s="1"/>
  <c r="W272" i="25"/>
  <c r="Z272" i="25" s="1"/>
  <c r="AA272" i="25" s="1"/>
  <c r="AB272" i="25" s="1"/>
  <c r="AO272" i="25"/>
  <c r="AO208" i="25"/>
  <c r="U242" i="25"/>
  <c r="V242" i="25"/>
  <c r="AD203" i="25"/>
  <c r="AE203" i="25" s="1"/>
  <c r="W203" i="25"/>
  <c r="Z203" i="25" s="1"/>
  <c r="AA203" i="25" s="1"/>
  <c r="AB203" i="25" s="1"/>
  <c r="U203" i="25"/>
  <c r="V203" i="25"/>
  <c r="AO209" i="25"/>
  <c r="V139" i="25"/>
  <c r="U139" i="25"/>
  <c r="AO278" i="25"/>
  <c r="U243" i="25"/>
  <c r="V243" i="25"/>
  <c r="AD221" i="25"/>
  <c r="AE221" i="25" s="1"/>
  <c r="W221" i="25"/>
  <c r="Z221" i="25" s="1"/>
  <c r="AA221" i="25" s="1"/>
  <c r="AO221" i="25"/>
  <c r="AO174" i="25"/>
  <c r="AO181" i="25"/>
  <c r="AO149" i="25"/>
  <c r="U231" i="25"/>
  <c r="V231" i="25"/>
  <c r="AD126" i="25"/>
  <c r="AE126" i="25" s="1"/>
  <c r="W126" i="25"/>
  <c r="Z126" i="25" s="1"/>
  <c r="AA126" i="25" s="1"/>
  <c r="AB126" i="25" s="1"/>
  <c r="V126" i="25"/>
  <c r="U126" i="25"/>
  <c r="AO59" i="25"/>
  <c r="AO117" i="25"/>
  <c r="U9" i="25"/>
  <c r="V9" i="25"/>
  <c r="V54" i="25"/>
  <c r="U54" i="25"/>
  <c r="AO53" i="25"/>
  <c r="V315" i="25"/>
  <c r="U315" i="25"/>
  <c r="V300" i="25"/>
  <c r="U300" i="25"/>
  <c r="AD284" i="25"/>
  <c r="AE284" i="25" s="1"/>
  <c r="W284" i="25"/>
  <c r="Z284" i="25" s="1"/>
  <c r="AA284" i="25" s="1"/>
  <c r="AB284" i="25" s="1"/>
  <c r="U284" i="25"/>
  <c r="V284" i="25"/>
  <c r="AD241" i="25"/>
  <c r="AE241" i="25" s="1"/>
  <c r="W241" i="25"/>
  <c r="Z241" i="25" s="1"/>
  <c r="AA241" i="25" s="1"/>
  <c r="AB241" i="25" s="1"/>
  <c r="AD308" i="25"/>
  <c r="AE308" i="25" s="1"/>
  <c r="W308" i="25"/>
  <c r="Z308" i="25" s="1"/>
  <c r="AA308" i="25" s="1"/>
  <c r="AB308" i="25" s="1"/>
  <c r="U224" i="25"/>
  <c r="V224" i="25"/>
  <c r="AD183" i="25"/>
  <c r="AE183" i="25" s="1"/>
  <c r="W183" i="25"/>
  <c r="Z183" i="25" s="1"/>
  <c r="AA183" i="25" s="1"/>
  <c r="AB183" i="25" s="1"/>
  <c r="AD256" i="25"/>
  <c r="AE256" i="25" s="1"/>
  <c r="W256" i="25"/>
  <c r="Z256" i="25" s="1"/>
  <c r="AA256" i="25" s="1"/>
  <c r="AB256" i="25" s="1"/>
  <c r="AO240" i="25"/>
  <c r="U222" i="25"/>
  <c r="V222" i="25"/>
  <c r="AD89" i="25"/>
  <c r="AE89" i="25" s="1"/>
  <c r="W89" i="25"/>
  <c r="Z89" i="25" s="1"/>
  <c r="AA89" i="25" s="1"/>
  <c r="AB89" i="25" s="1"/>
  <c r="AO37" i="25"/>
  <c r="W14" i="25"/>
  <c r="Z14" i="25" s="1"/>
  <c r="AA14" i="25" s="1"/>
  <c r="AB14" i="25" s="1"/>
  <c r="AD14" i="25"/>
  <c r="AE14" i="25" s="1"/>
  <c r="U141" i="25"/>
  <c r="V141" i="25"/>
  <c r="AD98" i="25"/>
  <c r="AE98" i="25" s="1"/>
  <c r="W98" i="25"/>
  <c r="Z98" i="25" s="1"/>
  <c r="AA98" i="25" s="1"/>
  <c r="AB98" i="25" s="1"/>
  <c r="AO124" i="25"/>
  <c r="AO144" i="25"/>
  <c r="AO128" i="25"/>
  <c r="V269" i="25"/>
  <c r="U269" i="25"/>
  <c r="AD226" i="25"/>
  <c r="AE226" i="25" s="1"/>
  <c r="W226" i="25"/>
  <c r="Z226" i="25" s="1"/>
  <c r="AA226" i="25" s="1"/>
  <c r="AO226" i="25"/>
  <c r="AD79" i="25"/>
  <c r="AE79" i="25" s="1"/>
  <c r="W79" i="25"/>
  <c r="Z79" i="25" s="1"/>
  <c r="AA79" i="25" s="1"/>
  <c r="AB79" i="25" s="1"/>
  <c r="AO79" i="25"/>
  <c r="W63" i="25"/>
  <c r="Z63" i="25" s="1"/>
  <c r="AA63" i="25" s="1"/>
  <c r="AB63" i="25" s="1"/>
  <c r="AD63" i="25"/>
  <c r="AE63" i="25" s="1"/>
  <c r="V63" i="25"/>
  <c r="U63" i="25"/>
  <c r="W47" i="25"/>
  <c r="Z47" i="25" s="1"/>
  <c r="AA47" i="25" s="1"/>
  <c r="AB47" i="25" s="1"/>
  <c r="AD47" i="25"/>
  <c r="AE47" i="25" s="1"/>
  <c r="V47" i="25"/>
  <c r="U47" i="25"/>
  <c r="W27" i="25"/>
  <c r="Z27" i="25" s="1"/>
  <c r="AA27" i="25" s="1"/>
  <c r="AB27" i="25" s="1"/>
  <c r="AD27" i="25"/>
  <c r="AE27" i="25" s="1"/>
  <c r="V27" i="25"/>
  <c r="U27" i="25"/>
  <c r="AD125" i="25"/>
  <c r="AE125" i="25" s="1"/>
  <c r="W125" i="25"/>
  <c r="Z125" i="25" s="1"/>
  <c r="AA125" i="25" s="1"/>
  <c r="AO77" i="25"/>
  <c r="AO57" i="25"/>
  <c r="AO25" i="25"/>
  <c r="AO6" i="25"/>
  <c r="V112" i="25"/>
  <c r="U112" i="25"/>
  <c r="W78" i="25"/>
  <c r="Z78" i="25" s="1"/>
  <c r="AA78" i="25" s="1"/>
  <c r="AB78" i="25" s="1"/>
  <c r="AD78" i="25"/>
  <c r="AE78" i="25" s="1"/>
  <c r="W62" i="25"/>
  <c r="Z62" i="25" s="1"/>
  <c r="AA62" i="25" s="1"/>
  <c r="AB62" i="25" s="1"/>
  <c r="AD62" i="25"/>
  <c r="AE62" i="25" s="1"/>
  <c r="W80" i="25"/>
  <c r="Z80" i="25" s="1"/>
  <c r="AA80" i="25" s="1"/>
  <c r="AB80" i="25" s="1"/>
  <c r="AD80" i="25"/>
  <c r="AE80" i="25" s="1"/>
  <c r="W64" i="25"/>
  <c r="Z64" i="25" s="1"/>
  <c r="AA64" i="25" s="1"/>
  <c r="AB64" i="25" s="1"/>
  <c r="AD64" i="25"/>
  <c r="AE64" i="25" s="1"/>
  <c r="W48" i="25"/>
  <c r="Z48" i="25" s="1"/>
  <c r="AA48" i="25" s="1"/>
  <c r="AB48" i="25" s="1"/>
  <c r="AD48" i="25"/>
  <c r="AE48" i="25" s="1"/>
  <c r="V48" i="25"/>
  <c r="U48" i="25"/>
  <c r="AD28" i="25"/>
  <c r="AE28" i="25" s="1"/>
  <c r="W28" i="25"/>
  <c r="Z28" i="25" s="1"/>
  <c r="AA28" i="25" s="1"/>
  <c r="AB28" i="25" s="1"/>
  <c r="W12" i="25"/>
  <c r="Z12" i="25" s="1"/>
  <c r="AA12" i="25" s="1"/>
  <c r="AB12" i="25" s="1"/>
  <c r="AD12" i="25"/>
  <c r="AE12" i="25" s="1"/>
  <c r="AD69" i="25"/>
  <c r="AE69" i="25" s="1"/>
  <c r="W69" i="25"/>
  <c r="Z69" i="25" s="1"/>
  <c r="AA69" i="25" s="1"/>
  <c r="AB69" i="25" s="1"/>
  <c r="AD21" i="25"/>
  <c r="AE21" i="25" s="1"/>
  <c r="W21" i="25"/>
  <c r="Z21" i="25" s="1"/>
  <c r="AA21" i="25" s="1"/>
  <c r="AB21" i="25" s="1"/>
  <c r="W42" i="25"/>
  <c r="Z42" i="25" s="1"/>
  <c r="AA42" i="25" s="1"/>
  <c r="AB42" i="25" s="1"/>
  <c r="AD42" i="25"/>
  <c r="AE42" i="25" s="1"/>
  <c r="W35" i="25"/>
  <c r="Z35" i="25" s="1"/>
  <c r="AA35" i="25" s="1"/>
  <c r="AB35" i="25" s="1"/>
  <c r="AD35" i="25"/>
  <c r="AE35" i="25" s="1"/>
  <c r="AO35" i="25"/>
  <c r="W22" i="25"/>
  <c r="Z22" i="25" s="1"/>
  <c r="AA22" i="25" s="1"/>
  <c r="AB22" i="25" s="1"/>
  <c r="AD22" i="25"/>
  <c r="AE22" i="25" s="1"/>
  <c r="AD306" i="25"/>
  <c r="AE306" i="25" s="1"/>
  <c r="W306" i="25"/>
  <c r="Z306" i="25" s="1"/>
  <c r="AA306" i="25" s="1"/>
  <c r="AB306" i="25" s="1"/>
  <c r="V305" i="25"/>
  <c r="U305" i="25"/>
  <c r="AO305" i="25"/>
  <c r="U288" i="25"/>
  <c r="V288" i="25"/>
  <c r="AD297" i="25"/>
  <c r="AE297" i="25" s="1"/>
  <c r="W297" i="25"/>
  <c r="Z297" i="25" s="1"/>
  <c r="AA297" i="25" s="1"/>
  <c r="AO297" i="25"/>
  <c r="U261" i="25"/>
  <c r="V261" i="25"/>
  <c r="AD245" i="25"/>
  <c r="AE245" i="25" s="1"/>
  <c r="W245" i="25"/>
  <c r="Z245" i="25" s="1"/>
  <c r="AA245" i="25" s="1"/>
  <c r="AO245" i="25"/>
  <c r="V208" i="25"/>
  <c r="U208" i="25"/>
  <c r="U291" i="25"/>
  <c r="V291" i="25"/>
  <c r="AD258" i="25"/>
  <c r="AE258" i="25" s="1"/>
  <c r="W258" i="25"/>
  <c r="Z258" i="25" s="1"/>
  <c r="AA258" i="25" s="1"/>
  <c r="AO258" i="25"/>
  <c r="AD228" i="25"/>
  <c r="AE228" i="25" s="1"/>
  <c r="W228" i="25"/>
  <c r="Z228" i="25" s="1"/>
  <c r="AA228" i="25" s="1"/>
  <c r="AO228" i="25"/>
  <c r="V209" i="25"/>
  <c r="U209" i="25"/>
  <c r="V171" i="25"/>
  <c r="U171" i="25"/>
  <c r="AD259" i="25"/>
  <c r="AE259" i="25" s="1"/>
  <c r="W259" i="25"/>
  <c r="Z259" i="25" s="1"/>
  <c r="AA259" i="25" s="1"/>
  <c r="AO259" i="25"/>
  <c r="AO142" i="25"/>
  <c r="AO189" i="25"/>
  <c r="AO165" i="25"/>
  <c r="AO127" i="25"/>
  <c r="AD295" i="25"/>
  <c r="AE295" i="25" s="1"/>
  <c r="W295" i="25"/>
  <c r="Z295" i="25" s="1"/>
  <c r="AA295" i="25" s="1"/>
  <c r="AO295" i="25"/>
  <c r="V49" i="25"/>
  <c r="U49" i="25"/>
  <c r="AO90" i="25"/>
  <c r="V60" i="25"/>
  <c r="U60" i="25"/>
  <c r="AO60" i="25"/>
  <c r="V24" i="25"/>
  <c r="U24" i="25"/>
  <c r="AO24" i="25"/>
  <c r="AO38" i="25"/>
  <c r="AO304" i="25"/>
  <c r="AO315" i="25"/>
  <c r="AO257" i="25"/>
  <c r="U206" i="25"/>
  <c r="V206" i="25"/>
  <c r="W274" i="25"/>
  <c r="Z274" i="25" s="1"/>
  <c r="AA274" i="25" s="1"/>
  <c r="AB274" i="25" s="1"/>
  <c r="AD274" i="25"/>
  <c r="AE274" i="25" s="1"/>
  <c r="U232" i="25"/>
  <c r="V232" i="25"/>
  <c r="V39" i="25"/>
  <c r="U39" i="25"/>
  <c r="V70" i="25"/>
  <c r="U70" i="25"/>
  <c r="W40" i="25"/>
  <c r="Z40" i="25" s="1"/>
  <c r="AA40" i="25" s="1"/>
  <c r="AB40" i="25" s="1"/>
  <c r="AD40" i="25"/>
  <c r="AE40" i="25" s="1"/>
  <c r="AD158" i="25"/>
  <c r="AE158" i="25" s="1"/>
  <c r="W158" i="25"/>
  <c r="Z158" i="25" s="1"/>
  <c r="AA158" i="25" s="1"/>
  <c r="AB158" i="25" s="1"/>
  <c r="AD157" i="25"/>
  <c r="AE157" i="25" s="1"/>
  <c r="W157" i="25"/>
  <c r="Z157" i="25" s="1"/>
  <c r="AA157" i="25" s="1"/>
  <c r="AB157" i="25" s="1"/>
  <c r="V43" i="25"/>
  <c r="U43" i="25"/>
  <c r="W44" i="25"/>
  <c r="Z44" i="25" s="1"/>
  <c r="AA44" i="25" s="1"/>
  <c r="AB44" i="25" s="1"/>
  <c r="AD44" i="25"/>
  <c r="AE44" i="25" s="1"/>
  <c r="U226" i="25"/>
  <c r="V226" i="25"/>
  <c r="AD218" i="25"/>
  <c r="AE218" i="25" s="1"/>
  <c r="W218" i="25"/>
  <c r="Z218" i="25" s="1"/>
  <c r="AA218" i="25" s="1"/>
  <c r="AO218" i="25"/>
  <c r="AO114" i="25"/>
  <c r="V79" i="25"/>
  <c r="U79" i="25"/>
  <c r="AO47" i="25"/>
  <c r="AO27" i="25"/>
  <c r="AO125" i="25"/>
  <c r="AO10" i="25"/>
  <c r="U6" i="25"/>
  <c r="V6" i="25"/>
  <c r="AO78" i="25"/>
  <c r="AO62" i="25"/>
  <c r="AO80" i="25"/>
  <c r="AO64" i="25"/>
  <c r="AO48" i="25"/>
  <c r="V28" i="25"/>
  <c r="U28" i="25"/>
  <c r="AO28" i="25"/>
  <c r="V12" i="25"/>
  <c r="U12" i="25"/>
  <c r="AO12" i="25"/>
  <c r="AO69" i="25"/>
  <c r="V69" i="25"/>
  <c r="U69" i="25"/>
  <c r="AO21" i="25"/>
  <c r="V21" i="25"/>
  <c r="U21" i="25"/>
  <c r="AO42" i="25"/>
  <c r="AO22" i="25"/>
  <c r="AO306" i="25"/>
  <c r="AD301" i="25"/>
  <c r="AE301" i="25" s="1"/>
  <c r="W301" i="25"/>
  <c r="Z301" i="25" s="1"/>
  <c r="AA301" i="25" s="1"/>
  <c r="AO301" i="25"/>
  <c r="U297" i="25"/>
  <c r="V297" i="25"/>
  <c r="AD281" i="25"/>
  <c r="AE281" i="25" s="1"/>
  <c r="W281" i="25"/>
  <c r="Z281" i="25" s="1"/>
  <c r="AA281" i="25" s="1"/>
  <c r="AO281" i="25"/>
  <c r="U245" i="25"/>
  <c r="V245" i="25"/>
  <c r="AD208" i="25"/>
  <c r="AE208" i="25" s="1"/>
  <c r="W208" i="25"/>
  <c r="Z208" i="25" s="1"/>
  <c r="AA208" i="25" s="1"/>
  <c r="U258" i="25"/>
  <c r="V258" i="25"/>
  <c r="AD242" i="25"/>
  <c r="AE242" i="25" s="1"/>
  <c r="W242" i="25"/>
  <c r="Z242" i="25" s="1"/>
  <c r="AA242" i="25" s="1"/>
  <c r="AO242" i="25"/>
  <c r="AO203" i="25"/>
  <c r="U228" i="25"/>
  <c r="V228" i="25"/>
  <c r="W209" i="25"/>
  <c r="Z209" i="25" s="1"/>
  <c r="AA209" i="25" s="1"/>
  <c r="AB209" i="25" s="1"/>
  <c r="AD209" i="25"/>
  <c r="AE209" i="25" s="1"/>
  <c r="AO171" i="25"/>
  <c r="AD139" i="25"/>
  <c r="AE139" i="25" s="1"/>
  <c r="W139" i="25"/>
  <c r="Z139" i="25" s="1"/>
  <c r="AA139" i="25" s="1"/>
  <c r="U259" i="25"/>
  <c r="V259" i="25"/>
  <c r="AD243" i="25"/>
  <c r="AE243" i="25" s="1"/>
  <c r="W243" i="25"/>
  <c r="Z243" i="25" s="1"/>
  <c r="AA243" i="25" s="1"/>
  <c r="AO243" i="25"/>
  <c r="AD142" i="25"/>
  <c r="AE142" i="25" s="1"/>
  <c r="W142" i="25"/>
  <c r="Z142" i="25" s="1"/>
  <c r="AA142" i="25" s="1"/>
  <c r="AB142" i="25" s="1"/>
  <c r="U142" i="25"/>
  <c r="V142" i="25"/>
  <c r="U189" i="25"/>
  <c r="V189" i="25"/>
  <c r="AD181" i="25"/>
  <c r="AE181" i="25" s="1"/>
  <c r="W181" i="25"/>
  <c r="Z181" i="25" s="1"/>
  <c r="AA181" i="25" s="1"/>
  <c r="U165" i="25"/>
  <c r="V165" i="25"/>
  <c r="AD149" i="25"/>
  <c r="AE149" i="25" s="1"/>
  <c r="W149" i="25"/>
  <c r="Z149" i="25" s="1"/>
  <c r="AA149" i="25" s="1"/>
  <c r="V127" i="25"/>
  <c r="U127" i="25"/>
  <c r="AD102" i="25"/>
  <c r="AE102" i="25" s="1"/>
  <c r="W102" i="25"/>
  <c r="Z102" i="25" s="1"/>
  <c r="AA102" i="25" s="1"/>
  <c r="AB102" i="25" s="1"/>
  <c r="AO102" i="25"/>
  <c r="AD94" i="25"/>
  <c r="AE94" i="25" s="1"/>
  <c r="W94" i="25"/>
  <c r="Z94" i="25" s="1"/>
  <c r="AA94" i="25" s="1"/>
  <c r="AB94" i="25" s="1"/>
  <c r="AO94" i="25"/>
  <c r="AD231" i="25"/>
  <c r="AE231" i="25" s="1"/>
  <c r="W231" i="25"/>
  <c r="Z231" i="25" s="1"/>
  <c r="AA231" i="25" s="1"/>
  <c r="AO231" i="25"/>
  <c r="AO126" i="25"/>
  <c r="U295" i="25"/>
  <c r="V295" i="25"/>
  <c r="W59" i="25"/>
  <c r="Z59" i="25" s="1"/>
  <c r="AA59" i="25" s="1"/>
  <c r="AB59" i="25" s="1"/>
  <c r="AD59" i="25"/>
  <c r="AE59" i="25" s="1"/>
  <c r="V59" i="25"/>
  <c r="U59" i="25"/>
  <c r="AD117" i="25"/>
  <c r="AE117" i="25" s="1"/>
  <c r="W117" i="25"/>
  <c r="Z117" i="25" s="1"/>
  <c r="AA117" i="25" s="1"/>
  <c r="AO49" i="25"/>
  <c r="AO9" i="25"/>
  <c r="V90" i="25"/>
  <c r="U90" i="25"/>
  <c r="AO54" i="25"/>
  <c r="AD53" i="25"/>
  <c r="AE53" i="25" s="1"/>
  <c r="W53" i="25"/>
  <c r="Z53" i="25" s="1"/>
  <c r="AA53" i="25" s="1"/>
  <c r="AB53" i="25" s="1"/>
  <c r="V53" i="25"/>
  <c r="U53" i="25"/>
  <c r="W18" i="25"/>
  <c r="Z18" i="25" s="1"/>
  <c r="AA18" i="25" s="1"/>
  <c r="AB18" i="25" s="1"/>
  <c r="AD18" i="25"/>
  <c r="AE18" i="25" s="1"/>
  <c r="AO18" i="25"/>
  <c r="U293" i="25"/>
  <c r="V293" i="25"/>
  <c r="AO279" i="25"/>
  <c r="AD283" i="25"/>
  <c r="AE283" i="25" s="1"/>
  <c r="W283" i="25"/>
  <c r="Z283" i="25" s="1"/>
  <c r="AA283" i="25" s="1"/>
  <c r="AB283" i="25" s="1"/>
  <c r="AD254" i="25"/>
  <c r="AE254" i="25" s="1"/>
  <c r="W254" i="25"/>
  <c r="Z254" i="25" s="1"/>
  <c r="AA254" i="25" s="1"/>
  <c r="AB254" i="25" s="1"/>
  <c r="AO154" i="25"/>
  <c r="V156" i="25"/>
  <c r="U156" i="25"/>
  <c r="AD87" i="25"/>
  <c r="AE87" i="25" s="1"/>
  <c r="W87" i="25"/>
  <c r="Z87" i="25" s="1"/>
  <c r="AA87" i="25" s="1"/>
  <c r="AB87" i="25" s="1"/>
  <c r="AD19" i="25"/>
  <c r="AE19" i="25" s="1"/>
  <c r="W19" i="25"/>
  <c r="Z19" i="25" s="1"/>
  <c r="AA19" i="25" s="1"/>
  <c r="AB19" i="25" s="1"/>
  <c r="W50" i="25"/>
  <c r="Z50" i="25" s="1"/>
  <c r="AA50" i="25" s="1"/>
  <c r="AB50" i="25" s="1"/>
  <c r="AD50" i="25"/>
  <c r="AE50" i="25" s="1"/>
  <c r="AD251" i="25"/>
  <c r="AE251" i="25" s="1"/>
  <c r="W251" i="25"/>
  <c r="Z251" i="25" s="1"/>
  <c r="AA251" i="25" s="1"/>
  <c r="AB251" i="25" s="1"/>
  <c r="U235" i="25"/>
  <c r="V235" i="25"/>
  <c r="W74" i="25"/>
  <c r="Z74" i="25" s="1"/>
  <c r="AA74" i="25" s="1"/>
  <c r="AB74" i="25" s="1"/>
  <c r="AD74" i="25"/>
  <c r="AE74" i="25" s="1"/>
  <c r="V34" i="25"/>
  <c r="U34" i="25"/>
  <c r="AD304" i="25"/>
  <c r="AE304" i="25" s="1"/>
  <c r="W304" i="25"/>
  <c r="Z304" i="25" s="1"/>
  <c r="AA304" i="25" s="1"/>
  <c r="AD315" i="25"/>
  <c r="AE315" i="25" s="1"/>
  <c r="W315" i="25"/>
  <c r="Z315" i="25" s="1"/>
  <c r="AA315" i="25" s="1"/>
  <c r="AB315" i="25" s="1"/>
  <c r="AO300" i="25"/>
  <c r="AO309" i="25"/>
  <c r="AO241" i="25"/>
  <c r="V204" i="25"/>
  <c r="U204" i="25"/>
  <c r="AO254" i="25"/>
  <c r="AO224" i="25"/>
  <c r="AD206" i="25"/>
  <c r="AE206" i="25" s="1"/>
  <c r="W206" i="25"/>
  <c r="Z206" i="25" s="1"/>
  <c r="AA206" i="25" s="1"/>
  <c r="AD167" i="25"/>
  <c r="AE167" i="25" s="1"/>
  <c r="W167" i="25"/>
  <c r="Z167" i="25" s="1"/>
  <c r="AA167" i="25" s="1"/>
  <c r="AB167" i="25" s="1"/>
  <c r="V135" i="25"/>
  <c r="U135" i="25"/>
  <c r="V274" i="25"/>
  <c r="U274" i="25"/>
  <c r="AO256" i="25"/>
  <c r="U248" i="25"/>
  <c r="V248" i="25"/>
  <c r="AO170" i="25"/>
  <c r="V180" i="25"/>
  <c r="U180" i="25"/>
  <c r="V148" i="25"/>
  <c r="U148" i="25"/>
  <c r="V123" i="25"/>
  <c r="U123" i="25"/>
  <c r="AO230" i="25"/>
  <c r="V122" i="25"/>
  <c r="U122" i="25"/>
  <c r="AO87" i="25"/>
  <c r="U113" i="25"/>
  <c r="V113" i="25"/>
  <c r="AD33" i="25"/>
  <c r="AE33" i="25" s="1"/>
  <c r="W33" i="25"/>
  <c r="Z33" i="25" s="1"/>
  <c r="AA33" i="25" s="1"/>
  <c r="AB33" i="25" s="1"/>
  <c r="AD120" i="25"/>
  <c r="AE120" i="25" s="1"/>
  <c r="W120" i="25"/>
  <c r="Z120" i="25" s="1"/>
  <c r="AA120" i="25" s="1"/>
  <c r="AB120" i="25" s="1"/>
  <c r="W70" i="25"/>
  <c r="Z70" i="25" s="1"/>
  <c r="AA70" i="25" s="1"/>
  <c r="AB70" i="25" s="1"/>
  <c r="AD70" i="25"/>
  <c r="AE70" i="25" s="1"/>
  <c r="AD72" i="25"/>
  <c r="AE72" i="25" s="1"/>
  <c r="W72" i="25"/>
  <c r="Z72" i="25" s="1"/>
  <c r="AA72" i="25" s="1"/>
  <c r="AB72" i="25" s="1"/>
  <c r="V37" i="25"/>
  <c r="U37" i="25"/>
  <c r="V30" i="25"/>
  <c r="U30" i="25"/>
  <c r="AO14" i="25"/>
  <c r="V187" i="25"/>
  <c r="U187" i="25"/>
  <c r="V155" i="25"/>
  <c r="U155" i="25"/>
  <c r="AO251" i="25"/>
  <c r="U190" i="25"/>
  <c r="V190" i="25"/>
  <c r="U197" i="25"/>
  <c r="V197" i="25"/>
  <c r="AD141" i="25"/>
  <c r="AE141" i="25" s="1"/>
  <c r="W141" i="25"/>
  <c r="Z141" i="25" s="1"/>
  <c r="AA141" i="25" s="1"/>
  <c r="U133" i="25"/>
  <c r="V133" i="25"/>
  <c r="AO111" i="25"/>
  <c r="AO75" i="25"/>
  <c r="W23" i="25"/>
  <c r="Z23" i="25" s="1"/>
  <c r="AA23" i="25" s="1"/>
  <c r="AB23" i="25" s="1"/>
  <c r="AD23" i="25"/>
  <c r="AE23" i="25" s="1"/>
  <c r="U121" i="25"/>
  <c r="V121" i="25"/>
  <c r="W34" i="25"/>
  <c r="Z34" i="25" s="1"/>
  <c r="AA34" i="25" s="1"/>
  <c r="AB34" i="25" s="1"/>
  <c r="AD34" i="25"/>
  <c r="AE34" i="25" s="1"/>
  <c r="AO284" i="25"/>
  <c r="AD293" i="25"/>
  <c r="AE293" i="25" s="1"/>
  <c r="W293" i="25"/>
  <c r="Z293" i="25" s="1"/>
  <c r="AA293" i="25" s="1"/>
  <c r="AO293" i="25"/>
  <c r="W279" i="25"/>
  <c r="Z279" i="25" s="1"/>
  <c r="AA279" i="25" s="1"/>
  <c r="AB279" i="25" s="1"/>
  <c r="AD279" i="25"/>
  <c r="AE279" i="25" s="1"/>
  <c r="AO294" i="25"/>
  <c r="AD257" i="25"/>
  <c r="AE257" i="25" s="1"/>
  <c r="W257" i="25"/>
  <c r="Z257" i="25" s="1"/>
  <c r="AA257" i="25" s="1"/>
  <c r="AB257" i="25" s="1"/>
  <c r="U257" i="25"/>
  <c r="V257" i="25"/>
  <c r="AO204" i="25"/>
  <c r="U283" i="25"/>
  <c r="V283" i="25"/>
  <c r="U238" i="25"/>
  <c r="V238" i="25"/>
  <c r="V308" i="25"/>
  <c r="U308" i="25"/>
  <c r="V167" i="25"/>
  <c r="U167" i="25"/>
  <c r="AD135" i="25"/>
  <c r="AE135" i="25" s="1"/>
  <c r="W135" i="25"/>
  <c r="Z135" i="25" s="1"/>
  <c r="AA135" i="25" s="1"/>
  <c r="AB135" i="25" s="1"/>
  <c r="AD240" i="25"/>
  <c r="AE240" i="25" s="1"/>
  <c r="W240" i="25"/>
  <c r="Z240" i="25" s="1"/>
  <c r="AA240" i="25" s="1"/>
  <c r="AB240" i="25" s="1"/>
  <c r="AO138" i="25"/>
  <c r="V196" i="25"/>
  <c r="U196" i="25"/>
  <c r="V164" i="25"/>
  <c r="U164" i="25"/>
  <c r="V132" i="25"/>
  <c r="U132" i="25"/>
  <c r="AO105" i="25"/>
  <c r="AO101" i="25"/>
  <c r="AO97" i="25"/>
  <c r="AO93" i="25"/>
  <c r="AO277" i="25"/>
  <c r="AD230" i="25"/>
  <c r="AE230" i="25" s="1"/>
  <c r="W230" i="25"/>
  <c r="Z230" i="25" s="1"/>
  <c r="AA230" i="25" s="1"/>
  <c r="AB230" i="25" s="1"/>
  <c r="AD71" i="25"/>
  <c r="AE71" i="25" s="1"/>
  <c r="W71" i="25"/>
  <c r="Z71" i="25" s="1"/>
  <c r="AA71" i="25" s="1"/>
  <c r="AB71" i="25" s="1"/>
  <c r="V55" i="25"/>
  <c r="U55" i="25"/>
  <c r="V19" i="25"/>
  <c r="U19" i="25"/>
  <c r="AD65" i="25"/>
  <c r="AE65" i="25" s="1"/>
  <c r="W65" i="25"/>
  <c r="Z65" i="25" s="1"/>
  <c r="AA65" i="25" s="1"/>
  <c r="AB65" i="25" s="1"/>
  <c r="AD13" i="25"/>
  <c r="AE13" i="25" s="1"/>
  <c r="W13" i="25"/>
  <c r="Z13" i="25" s="1"/>
  <c r="AA13" i="25" s="1"/>
  <c r="AB13" i="25" s="1"/>
  <c r="AO120" i="25"/>
  <c r="W86" i="25"/>
  <c r="Z86" i="25" s="1"/>
  <c r="AA86" i="25" s="1"/>
  <c r="AB86" i="25" s="1"/>
  <c r="AD86" i="25"/>
  <c r="AE86" i="25" s="1"/>
  <c r="W88" i="25"/>
  <c r="Z88" i="25" s="1"/>
  <c r="AA88" i="25" s="1"/>
  <c r="AB88" i="25" s="1"/>
  <c r="AD88" i="25"/>
  <c r="AE88" i="25" s="1"/>
  <c r="W56" i="25"/>
  <c r="Z56" i="25" s="1"/>
  <c r="AA56" i="25" s="1"/>
  <c r="AB56" i="25" s="1"/>
  <c r="AD56" i="25"/>
  <c r="AE56" i="25" s="1"/>
  <c r="V50" i="25"/>
  <c r="U50" i="25"/>
  <c r="AD316" i="25"/>
  <c r="AE316" i="25" s="1"/>
  <c r="W316" i="25"/>
  <c r="Z316" i="25" s="1"/>
  <c r="AA316" i="25" s="1"/>
  <c r="AB316" i="25" s="1"/>
  <c r="AO201" i="25"/>
  <c r="U158" i="25"/>
  <c r="V158" i="25"/>
  <c r="AD173" i="25"/>
  <c r="AE173" i="25" s="1"/>
  <c r="W173" i="25"/>
  <c r="Z173" i="25" s="1"/>
  <c r="AA173" i="25" s="1"/>
  <c r="AB173" i="25" s="1"/>
  <c r="U157" i="25"/>
  <c r="V157" i="25"/>
  <c r="AD111" i="25"/>
  <c r="AE111" i="25" s="1"/>
  <c r="W111" i="25"/>
  <c r="Z111" i="25" s="1"/>
  <c r="AA111" i="25" s="1"/>
  <c r="AB111" i="25" s="1"/>
  <c r="AO290" i="25"/>
  <c r="W43" i="25"/>
  <c r="Z43" i="25" s="1"/>
  <c r="AA43" i="25" s="1"/>
  <c r="AB43" i="25" s="1"/>
  <c r="AD43" i="25"/>
  <c r="AE43" i="25" s="1"/>
  <c r="AO23" i="25"/>
  <c r="AO73" i="25"/>
  <c r="AD17" i="25"/>
  <c r="AE17" i="25" s="1"/>
  <c r="W17" i="25"/>
  <c r="Z17" i="25" s="1"/>
  <c r="AA17" i="25" s="1"/>
  <c r="AB17" i="25" s="1"/>
  <c r="V124" i="25"/>
  <c r="U124" i="25"/>
  <c r="V44" i="25"/>
  <c r="U44" i="25"/>
  <c r="W58" i="25"/>
  <c r="Z58" i="25" s="1"/>
  <c r="AA58" i="25" s="1"/>
  <c r="AB58" i="25" s="1"/>
  <c r="AD58" i="25"/>
  <c r="AE58" i="25" s="1"/>
  <c r="AO34" i="25"/>
  <c r="AD294" i="25"/>
  <c r="AE294" i="25" s="1"/>
  <c r="W294" i="25"/>
  <c r="Z294" i="25" s="1"/>
  <c r="AA294" i="25" s="1"/>
  <c r="U294" i="25"/>
  <c r="V294" i="25"/>
  <c r="AD199" i="25"/>
  <c r="AE199" i="25" s="1"/>
  <c r="W199" i="25"/>
  <c r="Z199" i="25" s="1"/>
  <c r="AA199" i="25" s="1"/>
  <c r="AB199" i="25" s="1"/>
  <c r="V183" i="25"/>
  <c r="U183" i="25"/>
  <c r="AD151" i="25"/>
  <c r="AE151" i="25" s="1"/>
  <c r="W151" i="25"/>
  <c r="Z151" i="25" s="1"/>
  <c r="AA151" i="25" s="1"/>
  <c r="AB151" i="25" s="1"/>
  <c r="U264" i="25"/>
  <c r="V264" i="25"/>
  <c r="AD217" i="25"/>
  <c r="AE217" i="25" s="1"/>
  <c r="W217" i="25"/>
  <c r="Z217" i="25" s="1"/>
  <c r="AA217" i="25" s="1"/>
  <c r="AB217" i="25" s="1"/>
  <c r="AO186" i="25"/>
  <c r="V172" i="25"/>
  <c r="U172" i="25"/>
  <c r="V140" i="25"/>
  <c r="U140" i="25"/>
  <c r="V277" i="25"/>
  <c r="U277" i="25"/>
  <c r="AD122" i="25"/>
  <c r="AE122" i="25" s="1"/>
  <c r="W122" i="25"/>
  <c r="Z122" i="25" s="1"/>
  <c r="AA122" i="25" s="1"/>
  <c r="AD39" i="25"/>
  <c r="AE39" i="25" s="1"/>
  <c r="W39" i="25"/>
  <c r="Z39" i="25" s="1"/>
  <c r="AA39" i="25" s="1"/>
  <c r="AB39" i="25" s="1"/>
  <c r="AD113" i="25"/>
  <c r="AE113" i="25" s="1"/>
  <c r="W113" i="25"/>
  <c r="Z113" i="25" s="1"/>
  <c r="AA113" i="25" s="1"/>
  <c r="AB113" i="25" s="1"/>
  <c r="AO13" i="25"/>
  <c r="W8" i="25"/>
  <c r="Z8" i="25" s="1"/>
  <c r="AA8" i="25" s="1"/>
  <c r="AB8" i="25" s="1"/>
  <c r="AD8" i="25"/>
  <c r="AE8" i="25" s="1"/>
  <c r="U8" i="25"/>
  <c r="V8" i="25"/>
  <c r="V120" i="25"/>
  <c r="U120" i="25"/>
  <c r="V86" i="25"/>
  <c r="U86" i="25"/>
  <c r="V88" i="25"/>
  <c r="U88" i="25"/>
  <c r="W20" i="25"/>
  <c r="Z20" i="25" s="1"/>
  <c r="AA20" i="25" s="1"/>
  <c r="AB20" i="25" s="1"/>
  <c r="AD20" i="25"/>
  <c r="AE20" i="25" s="1"/>
  <c r="AD45" i="25"/>
  <c r="AE45" i="25" s="1"/>
  <c r="W45" i="25"/>
  <c r="Z45" i="25" s="1"/>
  <c r="AA45" i="25" s="1"/>
  <c r="AB45" i="25" s="1"/>
  <c r="W37" i="25"/>
  <c r="Z37" i="25" s="1"/>
  <c r="AA37" i="25" s="1"/>
  <c r="AB37" i="25" s="1"/>
  <c r="AD37" i="25"/>
  <c r="AE37" i="25" s="1"/>
  <c r="W30" i="25"/>
  <c r="Z30" i="25" s="1"/>
  <c r="AA30" i="25" s="1"/>
  <c r="AB30" i="25" s="1"/>
  <c r="AD30" i="25"/>
  <c r="AE30" i="25" s="1"/>
  <c r="V201" i="25"/>
  <c r="U201" i="25"/>
  <c r="U267" i="25"/>
  <c r="V267" i="25"/>
  <c r="AD190" i="25"/>
  <c r="AE190" i="25" s="1"/>
  <c r="W190" i="25"/>
  <c r="Z190" i="25" s="1"/>
  <c r="AA190" i="25" s="1"/>
  <c r="AD197" i="25"/>
  <c r="AE197" i="25" s="1"/>
  <c r="W197" i="25"/>
  <c r="Z197" i="25" s="1"/>
  <c r="AA197" i="25" s="1"/>
  <c r="U173" i="25"/>
  <c r="V173" i="25"/>
  <c r="AD133" i="25"/>
  <c r="AE133" i="25" s="1"/>
  <c r="W133" i="25"/>
  <c r="Z133" i="25" s="1"/>
  <c r="AA133" i="25" s="1"/>
  <c r="AD290" i="25"/>
  <c r="AE290" i="25" s="1"/>
  <c r="W290" i="25"/>
  <c r="Z290" i="25" s="1"/>
  <c r="AA290" i="25" s="1"/>
  <c r="U223" i="25"/>
  <c r="V223" i="25"/>
  <c r="AO17" i="25"/>
  <c r="AD124" i="25"/>
  <c r="AE124" i="25" s="1"/>
  <c r="W124" i="25"/>
  <c r="Z124" i="25" s="1"/>
  <c r="AA124" i="25" s="1"/>
  <c r="AB124" i="25" s="1"/>
  <c r="V74" i="25"/>
  <c r="U74" i="25"/>
  <c r="W76" i="25"/>
  <c r="Z76" i="25" s="1"/>
  <c r="AA76" i="25" s="1"/>
  <c r="AB76" i="25" s="1"/>
  <c r="AD76" i="25"/>
  <c r="AE76" i="25" s="1"/>
  <c r="AD121" i="25"/>
  <c r="AE121" i="25" s="1"/>
  <c r="W121" i="25"/>
  <c r="Z121" i="25" s="1"/>
  <c r="AA121" i="25" s="1"/>
  <c r="AB121" i="25" s="1"/>
  <c r="V58" i="25"/>
  <c r="U58" i="25"/>
  <c r="V38" i="25"/>
  <c r="U38" i="25"/>
  <c r="AD300" i="25"/>
  <c r="AE300" i="25" s="1"/>
  <c r="W300" i="25"/>
  <c r="Z300" i="25" s="1"/>
  <c r="AA300" i="25" s="1"/>
  <c r="V279" i="25"/>
  <c r="U279" i="25"/>
  <c r="W309" i="25"/>
  <c r="Z309" i="25" s="1"/>
  <c r="AA309" i="25" s="1"/>
  <c r="AD309" i="25"/>
  <c r="AE309" i="25" s="1"/>
  <c r="V309" i="25"/>
  <c r="U309" i="25"/>
  <c r="U241" i="25"/>
  <c r="V241" i="25"/>
  <c r="AD204" i="25"/>
  <c r="AE204" i="25" s="1"/>
  <c r="W204" i="25"/>
  <c r="Z204" i="25" s="1"/>
  <c r="AA204" i="25" s="1"/>
  <c r="U254" i="25"/>
  <c r="V254" i="25"/>
  <c r="AD238" i="25"/>
  <c r="AE238" i="25" s="1"/>
  <c r="W238" i="25"/>
  <c r="Z238" i="25" s="1"/>
  <c r="AA238" i="25" s="1"/>
  <c r="AO238" i="25"/>
  <c r="AO308" i="25"/>
  <c r="AO206" i="25"/>
  <c r="AO183" i="25"/>
  <c r="AO151" i="25"/>
  <c r="AD264" i="25"/>
  <c r="AE264" i="25" s="1"/>
  <c r="W264" i="25"/>
  <c r="Z264" i="25" s="1"/>
  <c r="AA264" i="25" s="1"/>
  <c r="AO264" i="25"/>
  <c r="U240" i="25"/>
  <c r="V240" i="25"/>
  <c r="AD232" i="25"/>
  <c r="AE232" i="25" s="1"/>
  <c r="W232" i="25"/>
  <c r="Z232" i="25" s="1"/>
  <c r="AA232" i="25" s="1"/>
  <c r="AO232" i="25"/>
  <c r="AD170" i="25"/>
  <c r="AE170" i="25" s="1"/>
  <c r="W170" i="25"/>
  <c r="Z170" i="25" s="1"/>
  <c r="AA170" i="25" s="1"/>
  <c r="AB170" i="25" s="1"/>
  <c r="U170" i="25"/>
  <c r="V170" i="25"/>
  <c r="AD138" i="25"/>
  <c r="AE138" i="25" s="1"/>
  <c r="W138" i="25"/>
  <c r="Z138" i="25" s="1"/>
  <c r="AA138" i="25" s="1"/>
  <c r="AB138" i="25" s="1"/>
  <c r="U138" i="25"/>
  <c r="V138" i="25"/>
  <c r="AO196" i="25"/>
  <c r="W188" i="25"/>
  <c r="Z188" i="25" s="1"/>
  <c r="AA188" i="25" s="1"/>
  <c r="AB188" i="25" s="1"/>
  <c r="AD188" i="25"/>
  <c r="AE188" i="25" s="1"/>
  <c r="AO180" i="25"/>
  <c r="W172" i="25"/>
  <c r="Z172" i="25" s="1"/>
  <c r="AA172" i="25" s="1"/>
  <c r="AB172" i="25" s="1"/>
  <c r="AD172" i="25"/>
  <c r="AE172" i="25" s="1"/>
  <c r="AO164" i="25"/>
  <c r="W156" i="25"/>
  <c r="Z156" i="25" s="1"/>
  <c r="AA156" i="25" s="1"/>
  <c r="AB156" i="25" s="1"/>
  <c r="AD156" i="25"/>
  <c r="AE156" i="25" s="1"/>
  <c r="AO148" i="25"/>
  <c r="W140" i="25"/>
  <c r="Z140" i="25" s="1"/>
  <c r="AA140" i="25" s="1"/>
  <c r="AB140" i="25" s="1"/>
  <c r="AD140" i="25"/>
  <c r="AE140" i="25" s="1"/>
  <c r="AO132" i="25"/>
  <c r="AD123" i="25"/>
  <c r="AE123" i="25" s="1"/>
  <c r="W123" i="25"/>
  <c r="Z123" i="25" s="1"/>
  <c r="AA123" i="25" s="1"/>
  <c r="AO123" i="25"/>
  <c r="U230" i="25"/>
  <c r="V230" i="25"/>
  <c r="AD222" i="25"/>
  <c r="AE222" i="25" s="1"/>
  <c r="W222" i="25"/>
  <c r="Z222" i="25" s="1"/>
  <c r="AA222" i="25" s="1"/>
  <c r="AO222" i="25"/>
  <c r="AO122" i="25"/>
  <c r="V87" i="25"/>
  <c r="U87" i="25"/>
  <c r="V71" i="25"/>
  <c r="U71" i="25"/>
  <c r="AO55" i="25"/>
  <c r="AO39" i="25"/>
  <c r="AO19" i="25"/>
  <c r="AO113" i="25"/>
  <c r="AO65" i="25"/>
  <c r="AO33" i="25"/>
  <c r="AO8" i="25"/>
  <c r="AO86" i="25"/>
  <c r="AO70" i="25"/>
  <c r="AO88" i="25"/>
  <c r="AO72" i="25"/>
  <c r="AO56" i="25"/>
  <c r="V40" i="25"/>
  <c r="U40" i="25"/>
  <c r="AO40" i="25"/>
  <c r="V20" i="25"/>
  <c r="U20" i="25"/>
  <c r="AO20" i="25"/>
  <c r="AO89" i="25"/>
  <c r="V89" i="25"/>
  <c r="U89" i="25"/>
  <c r="AO45" i="25"/>
  <c r="V45" i="25"/>
  <c r="U45" i="25"/>
  <c r="AO50" i="25"/>
  <c r="AO30" i="25"/>
  <c r="V14" i="25"/>
  <c r="U14" i="25"/>
  <c r="V316" i="25"/>
  <c r="U316" i="25"/>
  <c r="W201" i="25"/>
  <c r="Z201" i="25" s="1"/>
  <c r="AA201" i="25" s="1"/>
  <c r="AB201" i="25" s="1"/>
  <c r="AD201" i="25"/>
  <c r="AE201" i="25" s="1"/>
  <c r="AO187" i="25"/>
  <c r="AD155" i="25"/>
  <c r="AE155" i="25" s="1"/>
  <c r="W155" i="25"/>
  <c r="Z155" i="25" s="1"/>
  <c r="AA155" i="25" s="1"/>
  <c r="U251" i="25"/>
  <c r="V251" i="25"/>
  <c r="AD235" i="25"/>
  <c r="AE235" i="25" s="1"/>
  <c r="W235" i="25"/>
  <c r="Z235" i="25" s="1"/>
  <c r="AA235" i="25" s="1"/>
  <c r="AO235" i="25"/>
  <c r="AO190" i="25"/>
  <c r="AO173" i="25"/>
  <c r="AO141" i="25"/>
  <c r="V111" i="25"/>
  <c r="U111" i="25"/>
  <c r="V98" i="25"/>
  <c r="U98" i="25"/>
  <c r="V75" i="25"/>
  <c r="U75" i="25"/>
  <c r="V23" i="25"/>
  <c r="U23" i="25"/>
  <c r="V73" i="25"/>
  <c r="U73" i="25"/>
  <c r="V17" i="25"/>
  <c r="U17" i="25"/>
  <c r="V76" i="25"/>
  <c r="U76" i="25"/>
  <c r="AO58" i="25"/>
  <c r="AO199" i="25"/>
  <c r="AO167" i="25"/>
  <c r="AO135" i="25"/>
  <c r="AO274" i="25"/>
  <c r="U256" i="25"/>
  <c r="V256" i="25"/>
  <c r="AD248" i="25"/>
  <c r="AE248" i="25" s="1"/>
  <c r="W248" i="25"/>
  <c r="Z248" i="25" s="1"/>
  <c r="AA248" i="25" s="1"/>
  <c r="AO248" i="25"/>
  <c r="U217" i="25"/>
  <c r="V217" i="25"/>
  <c r="AD186" i="25"/>
  <c r="AE186" i="25" s="1"/>
  <c r="W186" i="25"/>
  <c r="Z186" i="25" s="1"/>
  <c r="AA186" i="25" s="1"/>
  <c r="AB186" i="25" s="1"/>
  <c r="U186" i="25"/>
  <c r="V186" i="25"/>
  <c r="AD154" i="25"/>
  <c r="AE154" i="25" s="1"/>
  <c r="W154" i="25"/>
  <c r="Z154" i="25" s="1"/>
  <c r="AA154" i="25" s="1"/>
  <c r="AB154" i="25" s="1"/>
  <c r="U154" i="25"/>
  <c r="V154" i="25"/>
  <c r="W196" i="25"/>
  <c r="Z196" i="25" s="1"/>
  <c r="AA196" i="25" s="1"/>
  <c r="AB196" i="25" s="1"/>
  <c r="AD196" i="25"/>
  <c r="AE196" i="25" s="1"/>
  <c r="AO188" i="25"/>
  <c r="W180" i="25"/>
  <c r="Z180" i="25" s="1"/>
  <c r="AA180" i="25" s="1"/>
  <c r="AB180" i="25" s="1"/>
  <c r="AD180" i="25"/>
  <c r="AE180" i="25" s="1"/>
  <c r="AO172" i="25"/>
  <c r="W164" i="25"/>
  <c r="Z164" i="25" s="1"/>
  <c r="AA164" i="25" s="1"/>
  <c r="AB164" i="25" s="1"/>
  <c r="AD164" i="25"/>
  <c r="AE164" i="25" s="1"/>
  <c r="AO156" i="25"/>
  <c r="W148" i="25"/>
  <c r="Z148" i="25" s="1"/>
  <c r="AA148" i="25" s="1"/>
  <c r="AB148" i="25" s="1"/>
  <c r="AD148" i="25"/>
  <c r="AE148" i="25" s="1"/>
  <c r="AO140" i="25"/>
  <c r="W132" i="25"/>
  <c r="Z132" i="25" s="1"/>
  <c r="AA132" i="25" s="1"/>
  <c r="AB132" i="25" s="1"/>
  <c r="AD132" i="25"/>
  <c r="AE132" i="25" s="1"/>
  <c r="AD105" i="25"/>
  <c r="AE105" i="25" s="1"/>
  <c r="W105" i="25"/>
  <c r="Z105" i="25" s="1"/>
  <c r="AA105" i="25" s="1"/>
  <c r="AB105" i="25" s="1"/>
  <c r="V105" i="25"/>
  <c r="U105" i="25"/>
  <c r="AD101" i="25"/>
  <c r="AE101" i="25" s="1"/>
  <c r="W101" i="25"/>
  <c r="Z101" i="25" s="1"/>
  <c r="AA101" i="25" s="1"/>
  <c r="AB101" i="25" s="1"/>
  <c r="V101" i="25"/>
  <c r="U101" i="25"/>
  <c r="AD97" i="25"/>
  <c r="AE97" i="25" s="1"/>
  <c r="W97" i="25"/>
  <c r="Z97" i="25" s="1"/>
  <c r="AA97" i="25" s="1"/>
  <c r="AB97" i="25" s="1"/>
  <c r="V97" i="25"/>
  <c r="U97" i="25"/>
  <c r="AD93" i="25"/>
  <c r="AE93" i="25" s="1"/>
  <c r="W93" i="25"/>
  <c r="Z93" i="25" s="1"/>
  <c r="AA93" i="25" s="1"/>
  <c r="AB93" i="25" s="1"/>
  <c r="V93" i="25"/>
  <c r="U93" i="25"/>
  <c r="AD277" i="25"/>
  <c r="AE277" i="25" s="1"/>
  <c r="W277" i="25"/>
  <c r="Z277" i="25" s="1"/>
  <c r="AA277" i="25" s="1"/>
  <c r="AO71" i="25"/>
  <c r="V65" i="25"/>
  <c r="U65" i="25"/>
  <c r="V33" i="25"/>
  <c r="U33" i="25"/>
  <c r="V13" i="25"/>
  <c r="U13" i="25"/>
  <c r="V72" i="25"/>
  <c r="U72" i="25"/>
  <c r="V56" i="25"/>
  <c r="U56" i="25"/>
  <c r="AO316" i="25"/>
  <c r="AD187" i="25"/>
  <c r="AE187" i="25" s="1"/>
  <c r="W187" i="25"/>
  <c r="Z187" i="25" s="1"/>
  <c r="AA187" i="25" s="1"/>
  <c r="AO155" i="25"/>
  <c r="AD267" i="25"/>
  <c r="AE267" i="25" s="1"/>
  <c r="W267" i="25"/>
  <c r="Z267" i="25" s="1"/>
  <c r="AA267" i="25" s="1"/>
  <c r="AO267" i="25"/>
  <c r="AO158" i="25"/>
  <c r="AO197" i="25"/>
  <c r="AO157" i="25"/>
  <c r="AO133" i="25"/>
  <c r="AO98" i="25"/>
  <c r="U290" i="25"/>
  <c r="V290" i="25"/>
  <c r="AD223" i="25"/>
  <c r="AE223" i="25" s="1"/>
  <c r="W223" i="25"/>
  <c r="Z223" i="25" s="1"/>
  <c r="AA223" i="25" s="1"/>
  <c r="AO223" i="25"/>
  <c r="AO43" i="25"/>
  <c r="AO74" i="25"/>
  <c r="AO76" i="25"/>
  <c r="AO44" i="25"/>
  <c r="AO121" i="25"/>
  <c r="K67" i="23"/>
  <c r="M67" i="23" s="1"/>
  <c r="L103" i="23"/>
  <c r="M103" i="23" s="1"/>
  <c r="L88" i="23"/>
  <c r="M88" i="23" s="1"/>
  <c r="K20" i="23"/>
  <c r="M20" i="23" s="1"/>
  <c r="AP5" i="24"/>
  <c r="W315" i="24"/>
  <c r="Y315" i="24" s="1"/>
  <c r="K63" i="23"/>
  <c r="M63" i="23" s="1"/>
  <c r="L49" i="23"/>
  <c r="M49" i="23" s="1"/>
  <c r="K84" i="23"/>
  <c r="M84" i="23" s="1"/>
  <c r="AP224" i="24"/>
  <c r="L60" i="23"/>
  <c r="M60" i="23" s="1"/>
  <c r="AP228" i="24"/>
  <c r="AP270" i="24"/>
  <c r="W303" i="24"/>
  <c r="Y303" i="24" s="1"/>
  <c r="AP259" i="24"/>
  <c r="AP230" i="24"/>
  <c r="AP274" i="24"/>
  <c r="AP252" i="24"/>
  <c r="AP284" i="24"/>
  <c r="AP241" i="24"/>
  <c r="AP273" i="24"/>
  <c r="AP305" i="24"/>
  <c r="AP286" i="24"/>
  <c r="AP288" i="24"/>
  <c r="AP265" i="24"/>
  <c r="AP266" i="24"/>
  <c r="AP237" i="24"/>
  <c r="AP269" i="24"/>
  <c r="AP250" i="24"/>
  <c r="AP223" i="24"/>
  <c r="AP255" i="24"/>
  <c r="AP287" i="24"/>
  <c r="AP310" i="24"/>
  <c r="AP258" i="24"/>
  <c r="AP235" i="24"/>
  <c r="AP299" i="24"/>
  <c r="W301" i="24"/>
  <c r="Y301" i="24" s="1"/>
  <c r="AP232" i="24"/>
  <c r="AP264" i="24"/>
  <c r="AP296" i="24"/>
  <c r="AP221" i="24"/>
  <c r="AP226" i="24"/>
  <c r="AP263" i="24"/>
  <c r="W234" i="24"/>
  <c r="Y234" i="24" s="1"/>
  <c r="W293" i="24"/>
  <c r="Y293" i="24" s="1"/>
  <c r="AP239" i="24"/>
  <c r="AP271" i="24"/>
  <c r="AP303" i="24"/>
  <c r="AP262" i="24"/>
  <c r="AP175" i="24"/>
  <c r="AP209" i="24"/>
  <c r="AP129" i="24"/>
  <c r="AP177" i="24"/>
  <c r="AP201" i="24"/>
  <c r="AP173" i="24"/>
  <c r="AP172" i="24"/>
  <c r="AP189" i="24"/>
  <c r="AP194" i="24"/>
  <c r="AP198" i="24"/>
  <c r="AP184" i="24"/>
  <c r="AP200" i="24"/>
  <c r="AP118" i="24"/>
  <c r="AP117" i="24"/>
  <c r="W233" i="24"/>
  <c r="Y233" i="24" s="1"/>
  <c r="AP192" i="24"/>
  <c r="AP208" i="24"/>
  <c r="AP179" i="24"/>
  <c r="AP191" i="24"/>
  <c r="AP233" i="24"/>
  <c r="AP168" i="24"/>
  <c r="AP181" i="24"/>
  <c r="AP246" i="24"/>
  <c r="AP190" i="24"/>
  <c r="AP167" i="24"/>
  <c r="AP188" i="24"/>
  <c r="AP204" i="24"/>
  <c r="AP298" i="24"/>
  <c r="AP183" i="24"/>
  <c r="W239" i="24"/>
  <c r="Y239" i="24" s="1"/>
  <c r="AP193" i="24"/>
  <c r="AP203" i="24"/>
  <c r="AP148" i="24"/>
  <c r="AP180" i="24"/>
  <c r="AP182" i="24"/>
  <c r="AP199" i="24"/>
  <c r="AP279" i="24"/>
  <c r="AP171" i="24"/>
  <c r="AP276" i="24"/>
  <c r="AP306" i="24"/>
  <c r="AP249" i="24"/>
  <c r="AP313" i="24"/>
  <c r="AP170" i="24"/>
  <c r="AP247" i="24"/>
  <c r="AP295" i="24"/>
  <c r="AP197" i="24"/>
  <c r="AP242" i="24"/>
  <c r="AP125" i="24"/>
  <c r="AP187" i="24"/>
  <c r="AP165" i="24"/>
  <c r="AP121" i="24"/>
  <c r="AP174" i="24"/>
  <c r="AP176" i="24"/>
  <c r="AP169" i="24"/>
  <c r="AP206" i="24"/>
  <c r="AP141" i="24"/>
  <c r="AP178" i="24"/>
  <c r="AP210" i="24"/>
  <c r="AP244" i="24"/>
  <c r="AP205" i="24"/>
  <c r="AP217" i="24"/>
  <c r="AP185" i="24"/>
  <c r="W271" i="24"/>
  <c r="Y271" i="24" s="1"/>
  <c r="AP196" i="24"/>
  <c r="AP166" i="24"/>
  <c r="AP202" i="24"/>
  <c r="AP229" i="24"/>
  <c r="AP261" i="24"/>
  <c r="AP154" i="24"/>
  <c r="AP186" i="24"/>
  <c r="AP207" i="24"/>
  <c r="AP195" i="24"/>
  <c r="AP292" i="24"/>
  <c r="AP119" i="24"/>
  <c r="AP218" i="24"/>
  <c r="AP130" i="24"/>
  <c r="AP220" i="24"/>
  <c r="AP316" i="24"/>
  <c r="AP227" i="24"/>
  <c r="AP291" i="24"/>
  <c r="AP256" i="24"/>
  <c r="AP133" i="24"/>
  <c r="AP293" i="24"/>
  <c r="AP282" i="24"/>
  <c r="AP267" i="24"/>
  <c r="AP278" i="24"/>
  <c r="AP231" i="24"/>
  <c r="AP311" i="24"/>
  <c r="W287" i="24"/>
  <c r="Y287" i="24" s="1"/>
  <c r="W268" i="24"/>
  <c r="Y268" i="24" s="1"/>
  <c r="W228" i="24"/>
  <c r="Y228" i="24" s="1"/>
  <c r="W229" i="24"/>
  <c r="Y229" i="24" s="1"/>
  <c r="W288" i="24"/>
  <c r="Y288" i="24" s="1"/>
  <c r="AP302" i="24"/>
  <c r="AP301" i="24"/>
  <c r="AP289" i="24"/>
  <c r="AP134" i="24"/>
  <c r="AP111" i="24"/>
  <c r="AP308" i="24"/>
  <c r="AP281" i="24"/>
  <c r="AP113" i="24"/>
  <c r="AP243" i="24"/>
  <c r="AP275" i="24"/>
  <c r="AP307" i="24"/>
  <c r="AP240" i="24"/>
  <c r="AP238" i="24"/>
  <c r="AP245" i="24"/>
  <c r="AP277" i="24"/>
  <c r="AP309" i="24"/>
  <c r="AP156" i="24"/>
  <c r="AP297" i="24"/>
  <c r="W266" i="24"/>
  <c r="Y266" i="24" s="1"/>
  <c r="AP219" i="24"/>
  <c r="AP251" i="24"/>
  <c r="AP283" i="24"/>
  <c r="AP315" i="24"/>
  <c r="AP222" i="24"/>
  <c r="AP116" i="24"/>
  <c r="AP253" i="24"/>
  <c r="AP285" i="24"/>
  <c r="AP162" i="24"/>
  <c r="AP234" i="24"/>
  <c r="AP314" i="24"/>
  <c r="AP236" i="24"/>
  <c r="AP268" i="24"/>
  <c r="AP300" i="24"/>
  <c r="AP225" i="24"/>
  <c r="AP257" i="24"/>
  <c r="AP158" i="24"/>
  <c r="AP136" i="24"/>
  <c r="AP147" i="24"/>
  <c r="AP260" i="24"/>
  <c r="AP254" i="24"/>
  <c r="AP294" i="24"/>
  <c r="AP248" i="24"/>
  <c r="AP280" i="24"/>
  <c r="AP312" i="24"/>
  <c r="AP139" i="24"/>
  <c r="AP114" i="24"/>
  <c r="AP145" i="24"/>
  <c r="AP140" i="24"/>
  <c r="AP163" i="24"/>
  <c r="AP124" i="24"/>
  <c r="AP272" i="24"/>
  <c r="AP304" i="24"/>
  <c r="AP290" i="24"/>
  <c r="AP161" i="24"/>
  <c r="AP137" i="24"/>
  <c r="W127" i="24"/>
  <c r="Y127" i="24" s="1"/>
  <c r="X127" i="24"/>
  <c r="AA127" i="24" s="1"/>
  <c r="AB127" i="24" s="1"/>
  <c r="AC127" i="24" s="1"/>
  <c r="AE127" i="24"/>
  <c r="AI127" i="24"/>
  <c r="V123" i="24"/>
  <c r="V199" i="24"/>
  <c r="V191" i="24"/>
  <c r="W121" i="24"/>
  <c r="Y121" i="24" s="1"/>
  <c r="X121" i="24"/>
  <c r="AA121" i="24" s="1"/>
  <c r="AB121" i="24" s="1"/>
  <c r="AC121" i="24" s="1"/>
  <c r="AE121" i="24"/>
  <c r="AI121" i="24"/>
  <c r="V310" i="24"/>
  <c r="W310" i="24"/>
  <c r="V131" i="24"/>
  <c r="W258" i="24"/>
  <c r="Y258" i="24" s="1"/>
  <c r="V173" i="24"/>
  <c r="W173" i="24"/>
  <c r="AE111" i="24"/>
  <c r="X111" i="24"/>
  <c r="AA111" i="24" s="1"/>
  <c r="AB111" i="24" s="1"/>
  <c r="AC111" i="24" s="1"/>
  <c r="AI111" i="24"/>
  <c r="X197" i="24"/>
  <c r="AA197" i="24" s="1"/>
  <c r="AB197" i="24" s="1"/>
  <c r="AC197" i="24" s="1"/>
  <c r="AE197" i="24"/>
  <c r="L100" i="23"/>
  <c r="M100" i="23" s="1"/>
  <c r="W219" i="24"/>
  <c r="Y219" i="24" s="1"/>
  <c r="AP144" i="24"/>
  <c r="AP160" i="24"/>
  <c r="AP126" i="24"/>
  <c r="AP143" i="24"/>
  <c r="X175" i="24"/>
  <c r="AA175" i="24" s="1"/>
  <c r="AB175" i="24" s="1"/>
  <c r="AC175" i="24" s="1"/>
  <c r="AJ175" i="24" s="1"/>
  <c r="AE175" i="24"/>
  <c r="AP146" i="24"/>
  <c r="W178" i="24"/>
  <c r="Y178" i="24" s="1"/>
  <c r="X178" i="24"/>
  <c r="AA178" i="24" s="1"/>
  <c r="AB178" i="24" s="1"/>
  <c r="AC178" i="24" s="1"/>
  <c r="AJ178" i="24" s="1"/>
  <c r="AE178" i="24"/>
  <c r="AP120" i="24"/>
  <c r="AP132" i="24"/>
  <c r="AP164" i="24"/>
  <c r="V201" i="24"/>
  <c r="AP151" i="24"/>
  <c r="AP123" i="24"/>
  <c r="AP155" i="24"/>
  <c r="AP150" i="24"/>
  <c r="V111" i="24"/>
  <c r="W111" i="24"/>
  <c r="X140" i="24"/>
  <c r="AA140" i="24" s="1"/>
  <c r="AB140" i="24" s="1"/>
  <c r="AC140" i="24" s="1"/>
  <c r="AJ140" i="24" s="1"/>
  <c r="AE140" i="24"/>
  <c r="V189" i="24"/>
  <c r="V194" i="24"/>
  <c r="AP135" i="24"/>
  <c r="V198" i="24"/>
  <c r="AP152" i="24"/>
  <c r="W138" i="24"/>
  <c r="Y138" i="24" s="1"/>
  <c r="AE138" i="24"/>
  <c r="X138" i="24"/>
  <c r="AA138" i="24" s="1"/>
  <c r="AB138" i="24" s="1"/>
  <c r="AC138" i="24" s="1"/>
  <c r="AJ138" i="24" s="1"/>
  <c r="V207" i="24"/>
  <c r="V195" i="24"/>
  <c r="V115" i="24"/>
  <c r="V128" i="24"/>
  <c r="W197" i="24"/>
  <c r="V197" i="24"/>
  <c r="AP142" i="24"/>
  <c r="V187" i="24"/>
  <c r="V124" i="24"/>
  <c r="W124" i="24"/>
  <c r="V156" i="24"/>
  <c r="W250" i="24"/>
  <c r="Y250" i="24" s="1"/>
  <c r="AE160" i="24"/>
  <c r="X160" i="24"/>
  <c r="AA160" i="24" s="1"/>
  <c r="AB160" i="24" s="1"/>
  <c r="AC160" i="24" s="1"/>
  <c r="AJ160" i="24" s="1"/>
  <c r="AE126" i="24"/>
  <c r="X126" i="24"/>
  <c r="AA126" i="24" s="1"/>
  <c r="AB126" i="24" s="1"/>
  <c r="AC126" i="24" s="1"/>
  <c r="AJ126" i="24" s="1"/>
  <c r="V193" i="24"/>
  <c r="V175" i="24"/>
  <c r="W175" i="24"/>
  <c r="V141" i="24"/>
  <c r="V165" i="24"/>
  <c r="W129" i="24"/>
  <c r="Y129" i="24" s="1"/>
  <c r="X129" i="24"/>
  <c r="AA129" i="24" s="1"/>
  <c r="AB129" i="24" s="1"/>
  <c r="AC129" i="24" s="1"/>
  <c r="AJ129" i="24" s="1"/>
  <c r="AE129" i="24"/>
  <c r="V203" i="24"/>
  <c r="W164" i="24"/>
  <c r="Y164" i="24" s="1"/>
  <c r="X164" i="24"/>
  <c r="AA164" i="24" s="1"/>
  <c r="AB164" i="24" s="1"/>
  <c r="AC164" i="24" s="1"/>
  <c r="AJ164" i="24" s="1"/>
  <c r="AE164" i="24"/>
  <c r="X180" i="24"/>
  <c r="AA180" i="24" s="1"/>
  <c r="AB180" i="24" s="1"/>
  <c r="AC180" i="24" s="1"/>
  <c r="AJ180" i="24" s="1"/>
  <c r="AE180" i="24"/>
  <c r="AP131" i="24"/>
  <c r="V140" i="24"/>
  <c r="W140" i="24"/>
  <c r="V172" i="24"/>
  <c r="W135" i="24"/>
  <c r="Y135" i="24" s="1"/>
  <c r="X135" i="24"/>
  <c r="AA135" i="24" s="1"/>
  <c r="AB135" i="24" s="1"/>
  <c r="AC135" i="24" s="1"/>
  <c r="AJ135" i="24" s="1"/>
  <c r="AE135" i="24"/>
  <c r="W202" i="24"/>
  <c r="Y202" i="24" s="1"/>
  <c r="X202" i="24"/>
  <c r="AA202" i="24" s="1"/>
  <c r="AB202" i="24" s="1"/>
  <c r="AC202" i="24" s="1"/>
  <c r="AJ202" i="24" s="1"/>
  <c r="AE202" i="24"/>
  <c r="AE200" i="24"/>
  <c r="X200" i="24"/>
  <c r="AA200" i="24" s="1"/>
  <c r="AB200" i="24" s="1"/>
  <c r="AC200" i="24" s="1"/>
  <c r="AJ200" i="24" s="1"/>
  <c r="AP157" i="24"/>
  <c r="AP112" i="24"/>
  <c r="V159" i="24"/>
  <c r="V133" i="24"/>
  <c r="V185" i="24"/>
  <c r="V167" i="24"/>
  <c r="V154" i="24"/>
  <c r="V186" i="24"/>
  <c r="V147" i="24"/>
  <c r="V125" i="24"/>
  <c r="V112" i="24"/>
  <c r="W251" i="24"/>
  <c r="Y251" i="24" s="1"/>
  <c r="V160" i="24"/>
  <c r="W160" i="24"/>
  <c r="V176" i="24"/>
  <c r="V192" i="24"/>
  <c r="V208" i="24"/>
  <c r="V126" i="24"/>
  <c r="W126" i="24"/>
  <c r="V169" i="24"/>
  <c r="V143" i="24"/>
  <c r="V116" i="24"/>
  <c r="V162" i="24"/>
  <c r="V179" i="24"/>
  <c r="V132" i="24"/>
  <c r="W180" i="24"/>
  <c r="V180" i="24"/>
  <c r="AP127" i="24"/>
  <c r="AE173" i="24"/>
  <c r="X173" i="24"/>
  <c r="AA173" i="24" s="1"/>
  <c r="AB173" i="24" s="1"/>
  <c r="AC173" i="24" s="1"/>
  <c r="AJ173" i="24" s="1"/>
  <c r="AP122" i="24"/>
  <c r="AP153" i="24"/>
  <c r="V158" i="24"/>
  <c r="V163" i="24"/>
  <c r="V113" i="24"/>
  <c r="V152" i="24"/>
  <c r="V200" i="24"/>
  <c r="W200" i="24"/>
  <c r="W118" i="24"/>
  <c r="Y118" i="24" s="1"/>
  <c r="AE118" i="24"/>
  <c r="X118" i="24"/>
  <c r="AA118" i="24" s="1"/>
  <c r="AB118" i="24" s="1"/>
  <c r="AC118" i="24" s="1"/>
  <c r="AJ118" i="24" s="1"/>
  <c r="V205" i="24"/>
  <c r="AE124" i="24"/>
  <c r="X124" i="24"/>
  <c r="AA124" i="24" s="1"/>
  <c r="AB124" i="24" s="1"/>
  <c r="AC124" i="24" s="1"/>
  <c r="AJ124" i="24" s="1"/>
  <c r="AP159" i="24"/>
  <c r="AP149" i="24"/>
  <c r="AP138" i="24"/>
  <c r="AP115" i="24"/>
  <c r="AP128" i="24"/>
  <c r="AI197" i="24"/>
  <c r="V183" i="24"/>
  <c r="W220" i="24"/>
  <c r="Y220" i="24" s="1"/>
  <c r="L24" i="23"/>
  <c r="M24" i="23" s="1"/>
  <c r="K42" i="23"/>
  <c r="M42" i="23" s="1"/>
  <c r="K66" i="23"/>
  <c r="M66" i="23" s="1"/>
  <c r="K74" i="23"/>
  <c r="M74" i="23" s="1"/>
  <c r="X245" i="24"/>
  <c r="AA245" i="24" s="1"/>
  <c r="AB245" i="24" s="1"/>
  <c r="AC245" i="24" s="1"/>
  <c r="AE245" i="24"/>
  <c r="AI245" i="24"/>
  <c r="AI307" i="24"/>
  <c r="AE307" i="24"/>
  <c r="X307" i="24"/>
  <c r="AA307" i="24" s="1"/>
  <c r="AB307" i="24" s="1"/>
  <c r="AC307" i="24" s="1"/>
  <c r="V284" i="24"/>
  <c r="V227" i="24"/>
  <c r="W227" i="24"/>
  <c r="AE302" i="24"/>
  <c r="AI302" i="24"/>
  <c r="X302" i="24"/>
  <c r="AA302" i="24" s="1"/>
  <c r="AB302" i="24" s="1"/>
  <c r="AC302" i="24" s="1"/>
  <c r="W297" i="24"/>
  <c r="Y297" i="24" s="1"/>
  <c r="AI297" i="24"/>
  <c r="AE297" i="24"/>
  <c r="X297" i="24"/>
  <c r="AA297" i="24" s="1"/>
  <c r="AB297" i="24" s="1"/>
  <c r="AC297" i="24" s="1"/>
  <c r="V279" i="24"/>
  <c r="W279" i="24"/>
  <c r="V296" i="24"/>
  <c r="V245" i="24"/>
  <c r="W245" i="24"/>
  <c r="AE240" i="24"/>
  <c r="AI240" i="24"/>
  <c r="X240" i="24"/>
  <c r="AA240" i="24" s="1"/>
  <c r="AB240" i="24" s="1"/>
  <c r="AC240" i="24" s="1"/>
  <c r="AI259" i="24"/>
  <c r="AE259" i="24"/>
  <c r="X259" i="24"/>
  <c r="AA259" i="24" s="1"/>
  <c r="AB259" i="24" s="1"/>
  <c r="AC259" i="24" s="1"/>
  <c r="AE223" i="24"/>
  <c r="AI223" i="24"/>
  <c r="X223" i="24"/>
  <c r="AA223" i="24" s="1"/>
  <c r="AB223" i="24" s="1"/>
  <c r="AC223" i="24" s="1"/>
  <c r="AI264" i="24"/>
  <c r="AE264" i="24"/>
  <c r="X264" i="24"/>
  <c r="AA264" i="24" s="1"/>
  <c r="AB264" i="24" s="1"/>
  <c r="AC264" i="24" s="1"/>
  <c r="AE273" i="24"/>
  <c r="AI273" i="24"/>
  <c r="X273" i="24"/>
  <c r="AA273" i="24" s="1"/>
  <c r="AB273" i="24" s="1"/>
  <c r="AC273" i="24" s="1"/>
  <c r="V231" i="24"/>
  <c r="AE222" i="24"/>
  <c r="AI222" i="24"/>
  <c r="X222" i="24"/>
  <c r="AA222" i="24" s="1"/>
  <c r="AB222" i="24" s="1"/>
  <c r="AC222" i="24" s="1"/>
  <c r="AI243" i="24"/>
  <c r="AE243" i="24"/>
  <c r="X243" i="24"/>
  <c r="AA243" i="24" s="1"/>
  <c r="AB243" i="24" s="1"/>
  <c r="AC243" i="24" s="1"/>
  <c r="V312" i="24"/>
  <c r="V270" i="24"/>
  <c r="AI293" i="24"/>
  <c r="AE293" i="24"/>
  <c r="X293" i="24"/>
  <c r="AA293" i="24" s="1"/>
  <c r="AB293" i="24" s="1"/>
  <c r="AC293" i="24" s="1"/>
  <c r="V304" i="24"/>
  <c r="W304" i="24"/>
  <c r="AE301" i="24"/>
  <c r="AI301" i="24"/>
  <c r="X301" i="24"/>
  <c r="AA301" i="24" s="1"/>
  <c r="AB301" i="24" s="1"/>
  <c r="AC301" i="24" s="1"/>
  <c r="W307" i="24"/>
  <c r="Y307" i="24" s="1"/>
  <c r="AI241" i="24"/>
  <c r="AE241" i="24"/>
  <c r="X241" i="24"/>
  <c r="AA241" i="24" s="1"/>
  <c r="AB241" i="24" s="1"/>
  <c r="AC241" i="24" s="1"/>
  <c r="AE279" i="24"/>
  <c r="AI279" i="24"/>
  <c r="X279" i="24"/>
  <c r="AA279" i="24" s="1"/>
  <c r="AB279" i="24" s="1"/>
  <c r="AC279" i="24" s="1"/>
  <c r="AE236" i="24"/>
  <c r="AI236" i="24"/>
  <c r="X236" i="24"/>
  <c r="AA236" i="24" s="1"/>
  <c r="AB236" i="24" s="1"/>
  <c r="AC236" i="24" s="1"/>
  <c r="AE224" i="24"/>
  <c r="AI224" i="24"/>
  <c r="X224" i="24"/>
  <c r="AA224" i="24" s="1"/>
  <c r="AB224" i="24" s="1"/>
  <c r="AC224" i="24" s="1"/>
  <c r="V294" i="24"/>
  <c r="W294" i="24"/>
  <c r="V246" i="24"/>
  <c r="W236" i="24"/>
  <c r="Y236" i="24" s="1"/>
  <c r="W259" i="24"/>
  <c r="Y259" i="24" s="1"/>
  <c r="W273" i="24"/>
  <c r="Y273" i="24" s="1"/>
  <c r="AE285" i="24"/>
  <c r="AI285" i="24"/>
  <c r="X285" i="24"/>
  <c r="AA285" i="24" s="1"/>
  <c r="AB285" i="24" s="1"/>
  <c r="AC285" i="24" s="1"/>
  <c r="V316" i="24"/>
  <c r="W316" i="24"/>
  <c r="V276" i="24"/>
  <c r="V223" i="24"/>
  <c r="W223" i="24"/>
  <c r="V254" i="24"/>
  <c r="W254" i="24"/>
  <c r="V232" i="24"/>
  <c r="V309" i="24"/>
  <c r="W309" i="24"/>
  <c r="V314" i="24"/>
  <c r="W314" i="24"/>
  <c r="AI251" i="24"/>
  <c r="AE251" i="24"/>
  <c r="X251" i="24"/>
  <c r="AA251" i="24" s="1"/>
  <c r="AB251" i="24" s="1"/>
  <c r="AC251" i="24" s="1"/>
  <c r="AE216" i="24"/>
  <c r="AI216" i="24"/>
  <c r="X216" i="24"/>
  <c r="AA216" i="24" s="1"/>
  <c r="AB216" i="24" s="1"/>
  <c r="AC216" i="24" s="1"/>
  <c r="AI220" i="24"/>
  <c r="AE220" i="24"/>
  <c r="X220" i="24"/>
  <c r="AA220" i="24" s="1"/>
  <c r="AB220" i="24" s="1"/>
  <c r="AC220" i="24" s="1"/>
  <c r="AI287" i="24"/>
  <c r="AE287" i="24"/>
  <c r="X287" i="24"/>
  <c r="AA287" i="24" s="1"/>
  <c r="AB287" i="24" s="1"/>
  <c r="AC287" i="24" s="1"/>
  <c r="AI266" i="24"/>
  <c r="AE266" i="24"/>
  <c r="X266" i="24"/>
  <c r="AA266" i="24" s="1"/>
  <c r="AB266" i="24" s="1"/>
  <c r="AC266" i="24" s="1"/>
  <c r="V256" i="24"/>
  <c r="W256" i="24"/>
  <c r="AE316" i="24"/>
  <c r="AI316" i="24"/>
  <c r="X316" i="24"/>
  <c r="AA316" i="24" s="1"/>
  <c r="AB316" i="24" s="1"/>
  <c r="AC316" i="24" s="1"/>
  <c r="AI274" i="24"/>
  <c r="AE274" i="24"/>
  <c r="X274" i="24"/>
  <c r="AA274" i="24" s="1"/>
  <c r="AB274" i="24" s="1"/>
  <c r="AC274" i="24" s="1"/>
  <c r="AE254" i="24"/>
  <c r="AI254" i="24"/>
  <c r="X254" i="24"/>
  <c r="AA254" i="24" s="1"/>
  <c r="AB254" i="24" s="1"/>
  <c r="AC254" i="24" s="1"/>
  <c r="AE268" i="24"/>
  <c r="AI268" i="24"/>
  <c r="X268" i="24"/>
  <c r="AA268" i="24" s="1"/>
  <c r="AB268" i="24" s="1"/>
  <c r="AC268" i="24" s="1"/>
  <c r="AI219" i="24"/>
  <c r="AE219" i="24"/>
  <c r="X219" i="24"/>
  <c r="AA219" i="24" s="1"/>
  <c r="AB219" i="24" s="1"/>
  <c r="AC219" i="24" s="1"/>
  <c r="W274" i="24"/>
  <c r="V274" i="24"/>
  <c r="AI286" i="24"/>
  <c r="AE286" i="24"/>
  <c r="X286" i="24"/>
  <c r="AA286" i="24" s="1"/>
  <c r="AB286" i="24" s="1"/>
  <c r="AC286" i="24" s="1"/>
  <c r="AE235" i="24"/>
  <c r="AI235" i="24"/>
  <c r="X235" i="24"/>
  <c r="AA235" i="24" s="1"/>
  <c r="AB235" i="24" s="1"/>
  <c r="AC235" i="24" s="1"/>
  <c r="AE221" i="24"/>
  <c r="AI221" i="24"/>
  <c r="X221" i="24"/>
  <c r="AA221" i="24" s="1"/>
  <c r="AB221" i="24" s="1"/>
  <c r="AC221" i="24" s="1"/>
  <c r="V286" i="24"/>
  <c r="W286" i="24"/>
  <c r="V267" i="24"/>
  <c r="W243" i="24"/>
  <c r="V243" i="24"/>
  <c r="AI288" i="24"/>
  <c r="AE288" i="24"/>
  <c r="X288" i="24"/>
  <c r="AA288" i="24" s="1"/>
  <c r="AB288" i="24" s="1"/>
  <c r="AC288" i="24" s="1"/>
  <c r="X292" i="24"/>
  <c r="AA292" i="24" s="1"/>
  <c r="AB292" i="24" s="1"/>
  <c r="AC292" i="24" s="1"/>
  <c r="AI292" i="24"/>
  <c r="AE292" i="24"/>
  <c r="W240" i="24"/>
  <c r="Y240" i="24" s="1"/>
  <c r="AI250" i="24"/>
  <c r="AE250" i="24"/>
  <c r="X250" i="24"/>
  <c r="AA250" i="24" s="1"/>
  <c r="AB250" i="24" s="1"/>
  <c r="AC250" i="24" s="1"/>
  <c r="V262" i="24"/>
  <c r="V306" i="24"/>
  <c r="V300" i="24"/>
  <c r="W300" i="24"/>
  <c r="V247" i="24"/>
  <c r="W247" i="24"/>
  <c r="V264" i="24"/>
  <c r="W264" i="24"/>
  <c r="V235" i="24"/>
  <c r="W235" i="24"/>
  <c r="AE228" i="24"/>
  <c r="AI228" i="24"/>
  <c r="X228" i="24"/>
  <c r="AA228" i="24" s="1"/>
  <c r="AB228" i="24" s="1"/>
  <c r="AC228" i="24" s="1"/>
  <c r="V237" i="24"/>
  <c r="AE218" i="24"/>
  <c r="AI218" i="24"/>
  <c r="X218" i="24"/>
  <c r="AA218" i="24" s="1"/>
  <c r="AB218" i="24" s="1"/>
  <c r="AC218" i="24" s="1"/>
  <c r="X300" i="24"/>
  <c r="AA300" i="24" s="1"/>
  <c r="AB300" i="24" s="1"/>
  <c r="AC300" i="24" s="1"/>
  <c r="AI300" i="24"/>
  <c r="AE300" i="24"/>
  <c r="K58" i="23"/>
  <c r="M58" i="23" s="1"/>
  <c r="AE315" i="24"/>
  <c r="AI315" i="24"/>
  <c r="X315" i="24"/>
  <c r="AA315" i="24" s="1"/>
  <c r="AB315" i="24" s="1"/>
  <c r="AC315" i="24" s="1"/>
  <c r="AI271" i="24"/>
  <c r="AE271" i="24"/>
  <c r="X271" i="24"/>
  <c r="AA271" i="24" s="1"/>
  <c r="AB271" i="24" s="1"/>
  <c r="AC271" i="24" s="1"/>
  <c r="AE314" i="24"/>
  <c r="AI314" i="24"/>
  <c r="X314" i="24"/>
  <c r="AA314" i="24" s="1"/>
  <c r="AB314" i="24" s="1"/>
  <c r="AC314" i="24" s="1"/>
  <c r="AI234" i="24"/>
  <c r="AE234" i="24"/>
  <c r="X234" i="24"/>
  <c r="AA234" i="24" s="1"/>
  <c r="AB234" i="24" s="1"/>
  <c r="AC234" i="24" s="1"/>
  <c r="V308" i="24"/>
  <c r="V255" i="24"/>
  <c r="AE247" i="24"/>
  <c r="AI247" i="24"/>
  <c r="X247" i="24"/>
  <c r="AA247" i="24" s="1"/>
  <c r="AB247" i="24" s="1"/>
  <c r="AC247" i="24" s="1"/>
  <c r="AE309" i="24"/>
  <c r="AI309" i="24"/>
  <c r="X309" i="24"/>
  <c r="AA309" i="24" s="1"/>
  <c r="AB309" i="24" s="1"/>
  <c r="AC309" i="24" s="1"/>
  <c r="AI256" i="24"/>
  <c r="AE256" i="24"/>
  <c r="X256" i="24"/>
  <c r="AA256" i="24" s="1"/>
  <c r="AB256" i="24" s="1"/>
  <c r="AC256" i="24" s="1"/>
  <c r="W224" i="24"/>
  <c r="Y224" i="24" s="1"/>
  <c r="W241" i="24"/>
  <c r="Y241" i="24" s="1"/>
  <c r="W292" i="24"/>
  <c r="Y292" i="24" s="1"/>
  <c r="AI272" i="24"/>
  <c r="AE272" i="24"/>
  <c r="X272" i="24"/>
  <c r="AA272" i="24" s="1"/>
  <c r="AB272" i="24" s="1"/>
  <c r="AC272" i="24" s="1"/>
  <c r="V244" i="24"/>
  <c r="V302" i="24"/>
  <c r="W302" i="24"/>
  <c r="V222" i="24"/>
  <c r="W222" i="24"/>
  <c r="V299" i="24"/>
  <c r="V261" i="24"/>
  <c r="V218" i="24"/>
  <c r="W218" i="24"/>
  <c r="AE230" i="24"/>
  <c r="AI230" i="24"/>
  <c r="X230" i="24"/>
  <c r="AA230" i="24" s="1"/>
  <c r="AB230" i="24" s="1"/>
  <c r="AC230" i="24" s="1"/>
  <c r="AE258" i="24"/>
  <c r="AI258" i="24"/>
  <c r="X258" i="24"/>
  <c r="AA258" i="24" s="1"/>
  <c r="AB258" i="24" s="1"/>
  <c r="AC258" i="24" s="1"/>
  <c r="AI303" i="24"/>
  <c r="AE303" i="24"/>
  <c r="X303" i="24"/>
  <c r="AA303" i="24" s="1"/>
  <c r="AB303" i="24" s="1"/>
  <c r="AC303" i="24" s="1"/>
  <c r="W275" i="24"/>
  <c r="Y275" i="24" s="1"/>
  <c r="AI275" i="24"/>
  <c r="AE275" i="24"/>
  <c r="X275" i="24"/>
  <c r="AA275" i="24" s="1"/>
  <c r="AB275" i="24" s="1"/>
  <c r="AC275" i="24" s="1"/>
  <c r="AE233" i="24"/>
  <c r="AI233" i="24"/>
  <c r="X233" i="24"/>
  <c r="AA233" i="24" s="1"/>
  <c r="AB233" i="24" s="1"/>
  <c r="AC233" i="24" s="1"/>
  <c r="AE229" i="24"/>
  <c r="AI229" i="24"/>
  <c r="X229" i="24"/>
  <c r="AA229" i="24" s="1"/>
  <c r="AB229" i="24" s="1"/>
  <c r="AC229" i="24" s="1"/>
  <c r="AE304" i="24"/>
  <c r="AI304" i="24"/>
  <c r="X304" i="24"/>
  <c r="AA304" i="24" s="1"/>
  <c r="AB304" i="24" s="1"/>
  <c r="AC304" i="24" s="1"/>
  <c r="AI239" i="24"/>
  <c r="AE239" i="24"/>
  <c r="X239" i="24"/>
  <c r="AA239" i="24" s="1"/>
  <c r="AB239" i="24" s="1"/>
  <c r="AC239" i="24" s="1"/>
  <c r="AE310" i="24"/>
  <c r="AI310" i="24"/>
  <c r="X310" i="24"/>
  <c r="AA310" i="24" s="1"/>
  <c r="AB310" i="24" s="1"/>
  <c r="AC310" i="24" s="1"/>
  <c r="AE294" i="24"/>
  <c r="AI294" i="24"/>
  <c r="X294" i="24"/>
  <c r="AA294" i="24" s="1"/>
  <c r="AB294" i="24" s="1"/>
  <c r="AC294" i="24" s="1"/>
  <c r="W230" i="24"/>
  <c r="Y230" i="24" s="1"/>
  <c r="W216" i="24"/>
  <c r="Y216" i="24" s="1"/>
  <c r="W285" i="24"/>
  <c r="Y285" i="24" s="1"/>
  <c r="W221" i="24"/>
  <c r="Y221" i="24" s="1"/>
  <c r="AE227" i="24"/>
  <c r="AI227" i="24"/>
  <c r="X227" i="24"/>
  <c r="AA227" i="24" s="1"/>
  <c r="AB227" i="24" s="1"/>
  <c r="AC227" i="24" s="1"/>
  <c r="W272" i="24"/>
  <c r="Y272" i="24" s="1"/>
  <c r="AP60" i="24"/>
  <c r="AP41" i="24"/>
  <c r="AP40" i="24"/>
  <c r="AP63" i="24"/>
  <c r="AP72" i="24"/>
  <c r="AP64" i="24"/>
  <c r="AP83" i="24"/>
  <c r="AP27" i="24"/>
  <c r="AP101" i="24"/>
  <c r="AP42" i="24"/>
  <c r="AP56" i="24"/>
  <c r="AP46" i="24"/>
  <c r="AP18" i="24"/>
  <c r="AP10" i="24"/>
  <c r="AP79" i="24"/>
  <c r="AP55" i="24"/>
  <c r="AP54" i="24"/>
  <c r="AP91" i="24"/>
  <c r="AP87" i="24"/>
  <c r="AP59" i="24"/>
  <c r="AP36" i="24"/>
  <c r="AP105" i="24"/>
  <c r="AP28" i="24"/>
  <c r="V14" i="24"/>
  <c r="V48" i="24"/>
  <c r="V18" i="24"/>
  <c r="V73" i="24"/>
  <c r="V76" i="24"/>
  <c r="V60" i="24"/>
  <c r="V47" i="24"/>
  <c r="V40" i="24"/>
  <c r="V10" i="24"/>
  <c r="V83" i="24"/>
  <c r="V6" i="24"/>
  <c r="V54" i="24"/>
  <c r="V43" i="24"/>
  <c r="V91" i="24"/>
  <c r="V20" i="24"/>
  <c r="V35" i="24"/>
  <c r="V19" i="24"/>
  <c r="V26" i="24"/>
  <c r="V95" i="24"/>
  <c r="V104" i="24"/>
  <c r="V46" i="24"/>
  <c r="V92" i="24"/>
  <c r="V90" i="24"/>
  <c r="V50" i="24"/>
  <c r="V7" i="24"/>
  <c r="V103" i="24"/>
  <c r="V64" i="24"/>
  <c r="V78" i="24"/>
  <c r="V9" i="24"/>
  <c r="V38" i="24"/>
  <c r="V27" i="24"/>
  <c r="V75" i="24"/>
  <c r="V100" i="24"/>
  <c r="V41" i="24"/>
  <c r="V15" i="24"/>
  <c r="V74" i="24"/>
  <c r="V31" i="24"/>
  <c r="V79" i="24"/>
  <c r="V8" i="24"/>
  <c r="V88" i="24"/>
  <c r="V45" i="24"/>
  <c r="V30" i="24"/>
  <c r="V13" i="24"/>
  <c r="V24" i="24"/>
  <c r="K93" i="23"/>
  <c r="M93" i="23" s="1"/>
  <c r="V23" i="24"/>
  <c r="V85" i="24"/>
  <c r="V82" i="24"/>
  <c r="V62" i="24"/>
  <c r="V86" i="24"/>
  <c r="V93" i="24"/>
  <c r="V34" i="24"/>
  <c r="V53" i="24"/>
  <c r="V39" i="24"/>
  <c r="V87" i="24"/>
  <c r="V16" i="24"/>
  <c r="V96" i="24"/>
  <c r="V57" i="24"/>
  <c r="V52" i="24"/>
  <c r="V84" i="24"/>
  <c r="V33" i="24"/>
  <c r="V12" i="24"/>
  <c r="V58" i="24"/>
  <c r="W5" i="24"/>
  <c r="V5" i="24"/>
  <c r="V63" i="24"/>
  <c r="V72" i="24"/>
  <c r="V81" i="24"/>
  <c r="L57" i="23"/>
  <c r="M57" i="23" s="1"/>
  <c r="V66" i="24"/>
  <c r="V105" i="24"/>
  <c r="V28" i="24"/>
  <c r="V94" i="24"/>
  <c r="V71" i="24"/>
  <c r="V29" i="24"/>
  <c r="V21" i="24"/>
  <c r="V61" i="24"/>
  <c r="V77" i="24"/>
  <c r="V37" i="24"/>
  <c r="V68" i="24"/>
  <c r="V99" i="24"/>
  <c r="V25" i="24"/>
  <c r="V42" i="24"/>
  <c r="V67" i="24"/>
  <c r="V49" i="24"/>
  <c r="L72" i="23"/>
  <c r="M72" i="23" s="1"/>
  <c r="K65" i="23"/>
  <c r="M65" i="23" s="1"/>
  <c r="L95" i="23"/>
  <c r="M95" i="23" s="1"/>
  <c r="M11" i="23"/>
  <c r="M99" i="23"/>
  <c r="M27" i="23"/>
  <c r="M19" i="23"/>
  <c r="M56" i="23"/>
  <c r="M8" i="23"/>
  <c r="M87" i="23"/>
  <c r="M55" i="23"/>
  <c r="M75" i="23"/>
  <c r="M12" i="23"/>
  <c r="M47" i="23"/>
  <c r="M43" i="23"/>
  <c r="M6" i="23"/>
  <c r="L97" i="23"/>
  <c r="M97" i="23" s="1"/>
  <c r="K83" i="23"/>
  <c r="M83" i="23" s="1"/>
  <c r="M98" i="23"/>
  <c r="M62" i="23"/>
  <c r="M46" i="23"/>
  <c r="M76" i="23"/>
  <c r="M78" i="23"/>
  <c r="M54" i="23"/>
  <c r="M81" i="23"/>
  <c r="M85" i="23"/>
  <c r="M50" i="23"/>
  <c r="M53" i="23"/>
  <c r="M101" i="23"/>
  <c r="M45" i="23"/>
  <c r="M34" i="23"/>
  <c r="M36" i="23"/>
  <c r="M28" i="23"/>
  <c r="M9" i="23"/>
  <c r="M33" i="23"/>
  <c r="M30" i="23"/>
  <c r="M90" i="23"/>
  <c r="M10" i="23"/>
  <c r="M94" i="23"/>
  <c r="M68" i="23"/>
  <c r="M70" i="23"/>
  <c r="M106" i="23"/>
  <c r="M41" i="23"/>
  <c r="M37" i="23"/>
  <c r="M44" i="23"/>
  <c r="M32" i="23"/>
  <c r="M23" i="23"/>
  <c r="M48" i="23"/>
  <c r="M64" i="23"/>
  <c r="M15" i="23"/>
  <c r="M40" i="23"/>
  <c r="M80" i="23"/>
  <c r="M31" i="23"/>
  <c r="M91" i="23"/>
  <c r="M7" i="23"/>
  <c r="M96" i="23"/>
  <c r="M51" i="23"/>
  <c r="M71" i="23"/>
  <c r="M39" i="23"/>
  <c r="M79" i="23"/>
  <c r="M104" i="23"/>
  <c r="M59" i="23"/>
  <c r="M16" i="23"/>
  <c r="M35" i="23"/>
  <c r="M18" i="23"/>
  <c r="M105" i="23"/>
  <c r="M86" i="23"/>
  <c r="M52" i="23"/>
  <c r="M89" i="23"/>
  <c r="M38" i="23"/>
  <c r="M25" i="23"/>
  <c r="M61" i="23"/>
  <c r="M82" i="23"/>
  <c r="M14" i="23"/>
  <c r="M29" i="23"/>
  <c r="M69" i="23"/>
  <c r="M17" i="23"/>
  <c r="M21" i="23"/>
  <c r="M22" i="23"/>
  <c r="M92" i="23"/>
  <c r="M73" i="23"/>
  <c r="M13" i="23"/>
  <c r="M102" i="23"/>
  <c r="M26" i="23"/>
  <c r="B196" i="2"/>
  <c r="A237" i="2"/>
  <c r="D42" i="16"/>
  <c r="B197" i="2"/>
  <c r="D43" i="16"/>
  <c r="CE5" i="25" l="1"/>
  <c r="CE6" i="25"/>
  <c r="CE7" i="25"/>
  <c r="CE35" i="25"/>
  <c r="CE80" i="25"/>
  <c r="CE49" i="25"/>
  <c r="CE58" i="25"/>
  <c r="CE29" i="25"/>
  <c r="CE104" i="25"/>
  <c r="CE42" i="25"/>
  <c r="CE62" i="25"/>
  <c r="CE19" i="25"/>
  <c r="CE66" i="25"/>
  <c r="CE43" i="25"/>
  <c r="CE14" i="25"/>
  <c r="CE86" i="25"/>
  <c r="CE57" i="25"/>
  <c r="CE21" i="25"/>
  <c r="CE39" i="25"/>
  <c r="CE101" i="25"/>
  <c r="CE36" i="25"/>
  <c r="CE73" i="25"/>
  <c r="CE18" i="25"/>
  <c r="CE53" i="25"/>
  <c r="CE90" i="25"/>
  <c r="CE51" i="25"/>
  <c r="CE92" i="25"/>
  <c r="CE69" i="25"/>
  <c r="CE55" i="25"/>
  <c r="CE12" i="25"/>
  <c r="CE28" i="25"/>
  <c r="CE10" i="25"/>
  <c r="CE79" i="25"/>
  <c r="CE48" i="25"/>
  <c r="CE33" i="25"/>
  <c r="CE16" i="25"/>
  <c r="CE9" i="25"/>
  <c r="CE59" i="25"/>
  <c r="CE38" i="25"/>
  <c r="CE24" i="25"/>
  <c r="CE11" i="25"/>
  <c r="CE15" i="25"/>
  <c r="CE100" i="25"/>
  <c r="CE22" i="25"/>
  <c r="CE64" i="25"/>
  <c r="CE97" i="25"/>
  <c r="CE26" i="25"/>
  <c r="CE50" i="25"/>
  <c r="CE27" i="25"/>
  <c r="CE81" i="25"/>
  <c r="CE75" i="25"/>
  <c r="CE30" i="25"/>
  <c r="CE72" i="25"/>
  <c r="CE77" i="25"/>
  <c r="CE95" i="25"/>
  <c r="CE8" i="25"/>
  <c r="CE71" i="25"/>
  <c r="CE41" i="25"/>
  <c r="CE23" i="25"/>
  <c r="CE34" i="25"/>
  <c r="CE76" i="25"/>
  <c r="CE85" i="25"/>
  <c r="CE96" i="25"/>
  <c r="CE13" i="25"/>
  <c r="CE17" i="25"/>
  <c r="CE37" i="25"/>
  <c r="CE88" i="25"/>
  <c r="CE99" i="25"/>
  <c r="CD153" i="24"/>
  <c r="CE110" i="24"/>
  <c r="CE216" i="24"/>
  <c r="CE242" i="24"/>
  <c r="CE281" i="24"/>
  <c r="CE254" i="24"/>
  <c r="CE137" i="24"/>
  <c r="CE226" i="24"/>
  <c r="CE277" i="24"/>
  <c r="CE238" i="24"/>
  <c r="CE133" i="24"/>
  <c r="CE217" i="24"/>
  <c r="CE291" i="24"/>
  <c r="CE121" i="24"/>
  <c r="CE131" i="24"/>
  <c r="CE305" i="24"/>
  <c r="CE241" i="24"/>
  <c r="CE278" i="24"/>
  <c r="CE316" i="24"/>
  <c r="CE252" i="24"/>
  <c r="CE271" i="24"/>
  <c r="CE294" i="24"/>
  <c r="CE265" i="24"/>
  <c r="CE198" i="24"/>
  <c r="CE276" i="24"/>
  <c r="CE298" i="24"/>
  <c r="CE115" i="24"/>
  <c r="CE140" i="24"/>
  <c r="CE293" i="24"/>
  <c r="CE288" i="24"/>
  <c r="CE159" i="24"/>
  <c r="CE184" i="24"/>
  <c r="CE136" i="24"/>
  <c r="CE310" i="24"/>
  <c r="CE285" i="24"/>
  <c r="CE221" i="24"/>
  <c r="CE296" i="24"/>
  <c r="CE232" i="24"/>
  <c r="CE315" i="24"/>
  <c r="CE251" i="24"/>
  <c r="CE174" i="24"/>
  <c r="CE260" i="24"/>
  <c r="CE258" i="24"/>
  <c r="CE189" i="24"/>
  <c r="CE188" i="24"/>
  <c r="CE279" i="24"/>
  <c r="CE273" i="24"/>
  <c r="CE274" i="24"/>
  <c r="CE303" i="24"/>
  <c r="CE239" i="24"/>
  <c r="CE202" i="24"/>
  <c r="CE142" i="24"/>
  <c r="CE306" i="24"/>
  <c r="CE153" i="24"/>
  <c r="CE128" i="24"/>
  <c r="CE161" i="24"/>
  <c r="CE156" i="24"/>
  <c r="CE263" i="24"/>
  <c r="CE117" i="24"/>
  <c r="CE229" i="24"/>
  <c r="CE224" i="24"/>
  <c r="CE275" i="24"/>
  <c r="CE141" i="24"/>
  <c r="CE264" i="24"/>
  <c r="CE113" i="24"/>
  <c r="CE249" i="24"/>
  <c r="CE292" i="24"/>
  <c r="CE135" i="24"/>
  <c r="CE311" i="24"/>
  <c r="CE245" i="24"/>
  <c r="CE304" i="24"/>
  <c r="CE246" i="24"/>
  <c r="CE181" i="24"/>
  <c r="CE200" i="24"/>
  <c r="CE259" i="24"/>
  <c r="CE262" i="24"/>
  <c r="CE182" i="24"/>
  <c r="CE289" i="24"/>
  <c r="CE225" i="24"/>
  <c r="CE230" i="24"/>
  <c r="CE173" i="24"/>
  <c r="CE300" i="24"/>
  <c r="CE236" i="24"/>
  <c r="CE314" i="24"/>
  <c r="CE201" i="24"/>
  <c r="CE130" i="24"/>
  <c r="CE196" i="24"/>
  <c r="CE164" i="24"/>
  <c r="CE132" i="24"/>
  <c r="CE255" i="24"/>
  <c r="CE187" i="24"/>
  <c r="CE233" i="24"/>
  <c r="CE244" i="24"/>
  <c r="CE295" i="24"/>
  <c r="CE282" i="24"/>
  <c r="CE170" i="24"/>
  <c r="CE261" i="24"/>
  <c r="CE256" i="24"/>
  <c r="CE286" i="24"/>
  <c r="CE307" i="24"/>
  <c r="CE129" i="24"/>
  <c r="CE250" i="24"/>
  <c r="CE178" i="24"/>
  <c r="CE269" i="24"/>
  <c r="CE116" i="24"/>
  <c r="CE165" i="24"/>
  <c r="CE280" i="24"/>
  <c r="CE302" i="24"/>
  <c r="CE206" i="24"/>
  <c r="CE193" i="24"/>
  <c r="CE126" i="24"/>
  <c r="CE299" i="24"/>
  <c r="CE235" i="24"/>
  <c r="CE272" i="24"/>
  <c r="CE227" i="24"/>
  <c r="CE284" i="24"/>
  <c r="CE220" i="24"/>
  <c r="CE218" i="24"/>
  <c r="CE253" i="24"/>
  <c r="CE163" i="24"/>
  <c r="CE112" i="24"/>
  <c r="CE111" i="24"/>
  <c r="CE127" i="24"/>
  <c r="CE148" i="24"/>
  <c r="CE186" i="24"/>
  <c r="CE290" i="24"/>
  <c r="CE243" i="24"/>
  <c r="CE301" i="24"/>
  <c r="CE312" i="24"/>
  <c r="CE270" i="24"/>
  <c r="CE119" i="24"/>
  <c r="CE144" i="24"/>
  <c r="CE309" i="24"/>
  <c r="CE155" i="24"/>
  <c r="CE234" i="24"/>
  <c r="CE180" i="24"/>
  <c r="CE308" i="24"/>
  <c r="CE118" i="24"/>
  <c r="CE237" i="24"/>
  <c r="CE248" i="24"/>
  <c r="CE222" i="24"/>
  <c r="CE283" i="24"/>
  <c r="CE313" i="24"/>
  <c r="CE247" i="24"/>
  <c r="CE240" i="24"/>
  <c r="CE134" i="24"/>
  <c r="CE145" i="24"/>
  <c r="CE114" i="24"/>
  <c r="CE287" i="24"/>
  <c r="CE125" i="24"/>
  <c r="CE297" i="24"/>
  <c r="CE231" i="24"/>
  <c r="CE124" i="24"/>
  <c r="CE162" i="24"/>
  <c r="CE208" i="24"/>
  <c r="CE267" i="24"/>
  <c r="CE228" i="24"/>
  <c r="CE166" i="24"/>
  <c r="CE257" i="24"/>
  <c r="CE123" i="24"/>
  <c r="CE268" i="24"/>
  <c r="CE177" i="24"/>
  <c r="CE223" i="24"/>
  <c r="CE171" i="24"/>
  <c r="CE138" i="24"/>
  <c r="CE120" i="24"/>
  <c r="CE266" i="24"/>
  <c r="CE219" i="24"/>
  <c r="AT173" i="24"/>
  <c r="AT135" i="24"/>
  <c r="AT138" i="24"/>
  <c r="AT118" i="24"/>
  <c r="AT202" i="24"/>
  <c r="AT164" i="24"/>
  <c r="AT129" i="24"/>
  <c r="AT140" i="24"/>
  <c r="AT178" i="24"/>
  <c r="AT175" i="24"/>
  <c r="AT180" i="24"/>
  <c r="AT126" i="24"/>
  <c r="AT124" i="24"/>
  <c r="AT200" i="24"/>
  <c r="AT160" i="24"/>
  <c r="AI253" i="24"/>
  <c r="AJ253" i="24" s="1"/>
  <c r="AT253" i="24" s="1"/>
  <c r="W253" i="24"/>
  <c r="Y253" i="24" s="1"/>
  <c r="AE253" i="24"/>
  <c r="AG253" i="24" s="1"/>
  <c r="X277" i="24"/>
  <c r="AA277" i="24" s="1"/>
  <c r="AB277" i="24" s="1"/>
  <c r="AC277" i="24" s="1"/>
  <c r="AE305" i="24"/>
  <c r="AG305" i="24" s="1"/>
  <c r="AE130" i="24"/>
  <c r="AF130" i="24" s="1"/>
  <c r="W305" i="24"/>
  <c r="Y305" i="24" s="1"/>
  <c r="AI305" i="24"/>
  <c r="AJ305" i="24" s="1"/>
  <c r="AT305" i="24" s="1"/>
  <c r="X190" i="24"/>
  <c r="AA190" i="24" s="1"/>
  <c r="AB190" i="24" s="1"/>
  <c r="AC190" i="24" s="1"/>
  <c r="AJ190" i="24" s="1"/>
  <c r="AE190" i="24"/>
  <c r="AF190" i="24" s="1"/>
  <c r="W190" i="24"/>
  <c r="Y190" i="24" s="1"/>
  <c r="AI277" i="24"/>
  <c r="W277" i="24"/>
  <c r="Y277" i="24" s="1"/>
  <c r="X280" i="24"/>
  <c r="AA280" i="24" s="1"/>
  <c r="AB280" i="24" s="1"/>
  <c r="AC280" i="24" s="1"/>
  <c r="X260" i="24"/>
  <c r="AA260" i="24" s="1"/>
  <c r="AB260" i="24" s="1"/>
  <c r="AC260" i="24" s="1"/>
  <c r="AE226" i="24"/>
  <c r="AF226" i="24" s="1"/>
  <c r="X248" i="24"/>
  <c r="AA248" i="24" s="1"/>
  <c r="AB248" i="24" s="1"/>
  <c r="AC248" i="24" s="1"/>
  <c r="AE193" i="24"/>
  <c r="X244" i="24"/>
  <c r="AA244" i="24" s="1"/>
  <c r="AB244" i="24" s="1"/>
  <c r="AC244" i="24" s="1"/>
  <c r="X299" i="24"/>
  <c r="AA299" i="24" s="1"/>
  <c r="AB299" i="24" s="1"/>
  <c r="AC299" i="24" s="1"/>
  <c r="AJ299" i="24" s="1"/>
  <c r="AT299" i="24" s="1"/>
  <c r="AI248" i="24"/>
  <c r="W248" i="24"/>
  <c r="Y248" i="24" s="1"/>
  <c r="AE244" i="24"/>
  <c r="AF244" i="24" s="1"/>
  <c r="AI244" i="24"/>
  <c r="X193" i="24"/>
  <c r="AA193" i="24" s="1"/>
  <c r="AB193" i="24" s="1"/>
  <c r="AC193" i="24" s="1"/>
  <c r="AJ193" i="24" s="1"/>
  <c r="AI281" i="24"/>
  <c r="AJ281" i="24" s="1"/>
  <c r="AT281" i="24" s="1"/>
  <c r="AI262" i="24"/>
  <c r="AI217" i="24"/>
  <c r="AJ217" i="24" s="1"/>
  <c r="AT217" i="24" s="1"/>
  <c r="X283" i="24"/>
  <c r="AA283" i="24" s="1"/>
  <c r="AB283" i="24" s="1"/>
  <c r="AC283" i="24" s="1"/>
  <c r="W280" i="24"/>
  <c r="Y280" i="24" s="1"/>
  <c r="AE171" i="24"/>
  <c r="AF171" i="24" s="1"/>
  <c r="AE281" i="24"/>
  <c r="AG281" i="24" s="1"/>
  <c r="W283" i="24"/>
  <c r="Y283" i="24" s="1"/>
  <c r="AE217" i="24"/>
  <c r="AF217" i="24" s="1"/>
  <c r="X132" i="24"/>
  <c r="AA132" i="24" s="1"/>
  <c r="AB132" i="24" s="1"/>
  <c r="AC132" i="24" s="1"/>
  <c r="AJ132" i="24" s="1"/>
  <c r="AI278" i="24"/>
  <c r="AJ278" i="24" s="1"/>
  <c r="AT278" i="24" s="1"/>
  <c r="AI257" i="24"/>
  <c r="AE290" i="24"/>
  <c r="AF290" i="24" s="1"/>
  <c r="X289" i="24"/>
  <c r="AA289" i="24" s="1"/>
  <c r="AB289" i="24" s="1"/>
  <c r="AC289" i="24" s="1"/>
  <c r="W282" i="24"/>
  <c r="Y282" i="24" s="1"/>
  <c r="AE132" i="24"/>
  <c r="W156" i="24"/>
  <c r="Y156" i="24" s="1"/>
  <c r="W226" i="24"/>
  <c r="Y226" i="24" s="1"/>
  <c r="W217" i="24"/>
  <c r="Y217" i="24" s="1"/>
  <c r="W262" i="24"/>
  <c r="Y262" i="24" s="1"/>
  <c r="X226" i="24"/>
  <c r="AA226" i="24" s="1"/>
  <c r="AB226" i="24" s="1"/>
  <c r="AC226" i="24" s="1"/>
  <c r="AJ226" i="24" s="1"/>
  <c r="AT226" i="24" s="1"/>
  <c r="X171" i="24"/>
  <c r="AA171" i="24" s="1"/>
  <c r="AB171" i="24" s="1"/>
  <c r="AC171" i="24" s="1"/>
  <c r="AJ171" i="24" s="1"/>
  <c r="AI280" i="24"/>
  <c r="X262" i="24"/>
  <c r="AA262" i="24" s="1"/>
  <c r="AB262" i="24" s="1"/>
  <c r="AC262" i="24" s="1"/>
  <c r="AI283" i="24"/>
  <c r="W132" i="24"/>
  <c r="Y132" i="24" s="1"/>
  <c r="W281" i="24"/>
  <c r="Y281" i="24" s="1"/>
  <c r="X242" i="24"/>
  <c r="AA242" i="24" s="1"/>
  <c r="AB242" i="24" s="1"/>
  <c r="AC242" i="24" s="1"/>
  <c r="AJ242" i="24" s="1"/>
  <c r="AT242" i="24" s="1"/>
  <c r="W171" i="24"/>
  <c r="Y171" i="24" s="1"/>
  <c r="AE311" i="24"/>
  <c r="AF311" i="24" s="1"/>
  <c r="AI237" i="24"/>
  <c r="AJ237" i="24" s="1"/>
  <c r="AT237" i="24" s="1"/>
  <c r="X191" i="24"/>
  <c r="AA191" i="24" s="1"/>
  <c r="AB191" i="24" s="1"/>
  <c r="AC191" i="24" s="1"/>
  <c r="AJ191" i="24" s="1"/>
  <c r="X269" i="24"/>
  <c r="AA269" i="24" s="1"/>
  <c r="AB269" i="24" s="1"/>
  <c r="AC269" i="24" s="1"/>
  <c r="AJ269" i="24" s="1"/>
  <c r="AT269" i="24" s="1"/>
  <c r="W311" i="24"/>
  <c r="Y311" i="24" s="1"/>
  <c r="W252" i="24"/>
  <c r="Y252" i="24" s="1"/>
  <c r="W158" i="24"/>
  <c r="Y158" i="24" s="1"/>
  <c r="AI289" i="24"/>
  <c r="X290" i="24"/>
  <c r="AA290" i="24" s="1"/>
  <c r="AB290" i="24" s="1"/>
  <c r="AC290" i="24" s="1"/>
  <c r="AJ290" i="24" s="1"/>
  <c r="AT290" i="24" s="1"/>
  <c r="AE260" i="24"/>
  <c r="AI282" i="24"/>
  <c r="X158" i="24"/>
  <c r="AA158" i="24" s="1"/>
  <c r="AB158" i="24" s="1"/>
  <c r="AC158" i="24" s="1"/>
  <c r="AJ158" i="24" s="1"/>
  <c r="X147" i="24"/>
  <c r="AA147" i="24" s="1"/>
  <c r="AB147" i="24" s="1"/>
  <c r="AC147" i="24" s="1"/>
  <c r="AJ147" i="24" s="1"/>
  <c r="X185" i="24"/>
  <c r="AA185" i="24" s="1"/>
  <c r="AB185" i="24" s="1"/>
  <c r="AC185" i="24" s="1"/>
  <c r="AJ185" i="24" s="1"/>
  <c r="X130" i="24"/>
  <c r="AA130" i="24" s="1"/>
  <c r="AB130" i="24" s="1"/>
  <c r="AC130" i="24" s="1"/>
  <c r="AJ130" i="24" s="1"/>
  <c r="W278" i="24"/>
  <c r="Y278" i="24" s="1"/>
  <c r="AE289" i="24"/>
  <c r="W237" i="24"/>
  <c r="Y237" i="24" s="1"/>
  <c r="AI311" i="24"/>
  <c r="AJ311" i="24" s="1"/>
  <c r="AT311" i="24" s="1"/>
  <c r="X282" i="24"/>
  <c r="AA282" i="24" s="1"/>
  <c r="AB282" i="24" s="1"/>
  <c r="AC282" i="24" s="1"/>
  <c r="AE204" i="24"/>
  <c r="AF204" i="24" s="1"/>
  <c r="W290" i="24"/>
  <c r="Y290" i="24" s="1"/>
  <c r="AI260" i="24"/>
  <c r="AI308" i="24"/>
  <c r="AJ308" i="24" s="1"/>
  <c r="AT308" i="24" s="1"/>
  <c r="X257" i="24"/>
  <c r="AA257" i="24" s="1"/>
  <c r="AB257" i="24" s="1"/>
  <c r="AC257" i="24" s="1"/>
  <c r="W147" i="24"/>
  <c r="Y147" i="24" s="1"/>
  <c r="AE147" i="24"/>
  <c r="W130" i="24"/>
  <c r="Y130" i="24" s="1"/>
  <c r="W265" i="24"/>
  <c r="Y265" i="24" s="1"/>
  <c r="AE312" i="24"/>
  <c r="AF312" i="24" s="1"/>
  <c r="AE265" i="24"/>
  <c r="AF265" i="24" s="1"/>
  <c r="W166" i="24"/>
  <c r="Y166" i="24" s="1"/>
  <c r="X117" i="24"/>
  <c r="AA117" i="24" s="1"/>
  <c r="AB117" i="24" s="1"/>
  <c r="AC117" i="24" s="1"/>
  <c r="AJ117" i="24" s="1"/>
  <c r="AE191" i="24"/>
  <c r="AE158" i="24"/>
  <c r="AF158" i="24" s="1"/>
  <c r="AE151" i="24"/>
  <c r="AF151" i="24" s="1"/>
  <c r="W193" i="24"/>
  <c r="Y193" i="24" s="1"/>
  <c r="AE176" i="24"/>
  <c r="AF176" i="24" s="1"/>
  <c r="X198" i="24"/>
  <c r="AA198" i="24" s="1"/>
  <c r="AB198" i="24" s="1"/>
  <c r="AC198" i="24" s="1"/>
  <c r="AJ198" i="24" s="1"/>
  <c r="W191" i="24"/>
  <c r="Y191" i="24" s="1"/>
  <c r="X265" i="24"/>
  <c r="AA265" i="24" s="1"/>
  <c r="AB265" i="24" s="1"/>
  <c r="AC265" i="24" s="1"/>
  <c r="AJ265" i="24" s="1"/>
  <c r="AT265" i="24" s="1"/>
  <c r="W168" i="24"/>
  <c r="Y168" i="24" s="1"/>
  <c r="W146" i="24"/>
  <c r="Y146" i="24" s="1"/>
  <c r="AI312" i="24"/>
  <c r="X298" i="24"/>
  <c r="AA298" i="24" s="1"/>
  <c r="AB298" i="24" s="1"/>
  <c r="AC298" i="24" s="1"/>
  <c r="AI195" i="24"/>
  <c r="AE133" i="24"/>
  <c r="AF133" i="24" s="1"/>
  <c r="X261" i="24"/>
  <c r="AA261" i="24" s="1"/>
  <c r="AB261" i="24" s="1"/>
  <c r="AC261" i="24" s="1"/>
  <c r="W133" i="24"/>
  <c r="Y133" i="24" s="1"/>
  <c r="AE114" i="24"/>
  <c r="AI153" i="24"/>
  <c r="W232" i="24"/>
  <c r="Y232" i="24" s="1"/>
  <c r="AI270" i="24"/>
  <c r="X312" i="24"/>
  <c r="AA312" i="24" s="1"/>
  <c r="AB312" i="24" s="1"/>
  <c r="AC312" i="24" s="1"/>
  <c r="W139" i="24"/>
  <c r="Y139" i="24" s="1"/>
  <c r="AE291" i="24"/>
  <c r="AF291" i="24" s="1"/>
  <c r="AE299" i="24"/>
  <c r="AF299" i="24" s="1"/>
  <c r="AE278" i="24"/>
  <c r="AG278" i="24" s="1"/>
  <c r="W299" i="24"/>
  <c r="Y299" i="24" s="1"/>
  <c r="X291" i="24"/>
  <c r="AA291" i="24" s="1"/>
  <c r="AB291" i="24" s="1"/>
  <c r="AC291" i="24" s="1"/>
  <c r="AJ291" i="24" s="1"/>
  <c r="AT291" i="24" s="1"/>
  <c r="X252" i="24"/>
  <c r="AA252" i="24" s="1"/>
  <c r="AB252" i="24" s="1"/>
  <c r="AC252" i="24" s="1"/>
  <c r="AJ252" i="24" s="1"/>
  <c r="AT252" i="24" s="1"/>
  <c r="AE237" i="24"/>
  <c r="AG237" i="24" s="1"/>
  <c r="AE257" i="24"/>
  <c r="AF257" i="24" s="1"/>
  <c r="W204" i="24"/>
  <c r="Y204" i="24" s="1"/>
  <c r="W176" i="24"/>
  <c r="Y176" i="24" s="1"/>
  <c r="W185" i="24"/>
  <c r="Y185" i="24" s="1"/>
  <c r="X176" i="24"/>
  <c r="AA176" i="24" s="1"/>
  <c r="AB176" i="24" s="1"/>
  <c r="AC176" i="24" s="1"/>
  <c r="AJ176" i="24" s="1"/>
  <c r="AE198" i="24"/>
  <c r="AF198" i="24" s="1"/>
  <c r="W291" i="24"/>
  <c r="Y291" i="24" s="1"/>
  <c r="W267" i="24"/>
  <c r="Y267" i="24" s="1"/>
  <c r="X267" i="24"/>
  <c r="AA267" i="24" s="1"/>
  <c r="AB267" i="24" s="1"/>
  <c r="AC267" i="24" s="1"/>
  <c r="AJ267" i="24" s="1"/>
  <c r="AT267" i="24" s="1"/>
  <c r="AI238" i="24"/>
  <c r="AJ238" i="24" s="1"/>
  <c r="AT238" i="24" s="1"/>
  <c r="AI246" i="24"/>
  <c r="AJ246" i="24" s="1"/>
  <c r="AT246" i="24" s="1"/>
  <c r="X166" i="24"/>
  <c r="AA166" i="24" s="1"/>
  <c r="AB166" i="24" s="1"/>
  <c r="AC166" i="24" s="1"/>
  <c r="AJ166" i="24" s="1"/>
  <c r="W151" i="24"/>
  <c r="Y151" i="24" s="1"/>
  <c r="X120" i="24"/>
  <c r="AA120" i="24" s="1"/>
  <c r="AB120" i="24" s="1"/>
  <c r="AC120" i="24" s="1"/>
  <c r="AJ120" i="24" s="1"/>
  <c r="AE185" i="24"/>
  <c r="AF185" i="24" s="1"/>
  <c r="W198" i="24"/>
  <c r="Y198" i="24" s="1"/>
  <c r="AE232" i="24"/>
  <c r="AF232" i="24" s="1"/>
  <c r="X143" i="24"/>
  <c r="AA143" i="24" s="1"/>
  <c r="AB143" i="24" s="1"/>
  <c r="AC143" i="24" s="1"/>
  <c r="AJ143" i="24" s="1"/>
  <c r="AE209" i="24"/>
  <c r="AF209" i="24" s="1"/>
  <c r="W153" i="24"/>
  <c r="Y153" i="24" s="1"/>
  <c r="AE139" i="24"/>
  <c r="AF139" i="24" s="1"/>
  <c r="AI298" i="24"/>
  <c r="W261" i="24"/>
  <c r="Y261" i="24" s="1"/>
  <c r="X231" i="24"/>
  <c r="AA231" i="24" s="1"/>
  <c r="AB231" i="24" s="1"/>
  <c r="AC231" i="24" s="1"/>
  <c r="AJ231" i="24" s="1"/>
  <c r="AT231" i="24" s="1"/>
  <c r="AI261" i="24"/>
  <c r="W270" i="24"/>
  <c r="Y270" i="24" s="1"/>
  <c r="X195" i="24"/>
  <c r="AA195" i="24" s="1"/>
  <c r="AB195" i="24" s="1"/>
  <c r="AC195" i="24" s="1"/>
  <c r="X146" i="24"/>
  <c r="AA146" i="24" s="1"/>
  <c r="AB146" i="24" s="1"/>
  <c r="AC146" i="24" s="1"/>
  <c r="AJ146" i="24" s="1"/>
  <c r="W114" i="24"/>
  <c r="Y114" i="24" s="1"/>
  <c r="AE231" i="24"/>
  <c r="AF231" i="24" s="1"/>
  <c r="W231" i="24"/>
  <c r="Y231" i="24" s="1"/>
  <c r="X270" i="24"/>
  <c r="AA270" i="24" s="1"/>
  <c r="AB270" i="24" s="1"/>
  <c r="AC270" i="24" s="1"/>
  <c r="X168" i="24"/>
  <c r="AA168" i="24" s="1"/>
  <c r="AB168" i="24" s="1"/>
  <c r="AC168" i="24" s="1"/>
  <c r="AJ168" i="24" s="1"/>
  <c r="AE146" i="24"/>
  <c r="AF146" i="24" s="1"/>
  <c r="W195" i="24"/>
  <c r="Y195" i="24" s="1"/>
  <c r="W209" i="24"/>
  <c r="Y209" i="24" s="1"/>
  <c r="X139" i="24"/>
  <c r="AA139" i="24" s="1"/>
  <c r="AB139" i="24" s="1"/>
  <c r="AC139" i="24" s="1"/>
  <c r="AJ139" i="24" s="1"/>
  <c r="X232" i="24"/>
  <c r="AA232" i="24" s="1"/>
  <c r="AB232" i="24" s="1"/>
  <c r="AC232" i="24" s="1"/>
  <c r="AJ232" i="24" s="1"/>
  <c r="AT232" i="24" s="1"/>
  <c r="W143" i="24"/>
  <c r="Y143" i="24" s="1"/>
  <c r="AE143" i="24"/>
  <c r="AF143" i="24" s="1"/>
  <c r="X133" i="24"/>
  <c r="AA133" i="24" s="1"/>
  <c r="AB133" i="24" s="1"/>
  <c r="AC133" i="24" s="1"/>
  <c r="AJ133" i="24" s="1"/>
  <c r="X114" i="24"/>
  <c r="AA114" i="24" s="1"/>
  <c r="AB114" i="24" s="1"/>
  <c r="AC114" i="24" s="1"/>
  <c r="AJ114" i="24" s="1"/>
  <c r="X153" i="24"/>
  <c r="AA153" i="24" s="1"/>
  <c r="AB153" i="24" s="1"/>
  <c r="AC153" i="24" s="1"/>
  <c r="AE249" i="24"/>
  <c r="AG249" i="24" s="1"/>
  <c r="AI306" i="24"/>
  <c r="AE238" i="24"/>
  <c r="AG238" i="24" s="1"/>
  <c r="AE225" i="24"/>
  <c r="AE117" i="24"/>
  <c r="AF117" i="24" s="1"/>
  <c r="AI313" i="24"/>
  <c r="AJ313" i="24" s="1"/>
  <c r="AT313" i="24" s="1"/>
  <c r="W308" i="24"/>
  <c r="Y308" i="24" s="1"/>
  <c r="W269" i="24"/>
  <c r="Y269" i="24" s="1"/>
  <c r="X276" i="24"/>
  <c r="AA276" i="24" s="1"/>
  <c r="AB276" i="24" s="1"/>
  <c r="AC276" i="24" s="1"/>
  <c r="AE263" i="24"/>
  <c r="X204" i="24"/>
  <c r="AA204" i="24" s="1"/>
  <c r="AB204" i="24" s="1"/>
  <c r="AC204" i="24" s="1"/>
  <c r="AJ204" i="24" s="1"/>
  <c r="AE166" i="24"/>
  <c r="X151" i="24"/>
  <c r="AA151" i="24" s="1"/>
  <c r="AB151" i="24" s="1"/>
  <c r="AC151" i="24" s="1"/>
  <c r="AJ151" i="24" s="1"/>
  <c r="W117" i="24"/>
  <c r="Y117" i="24" s="1"/>
  <c r="AE313" i="24"/>
  <c r="AG313" i="24" s="1"/>
  <c r="W276" i="24"/>
  <c r="Y276" i="24" s="1"/>
  <c r="W263" i="24"/>
  <c r="Y263" i="24" s="1"/>
  <c r="AE246" i="24"/>
  <c r="AG246" i="24" s="1"/>
  <c r="X296" i="24"/>
  <c r="AA296" i="24" s="1"/>
  <c r="AB296" i="24" s="1"/>
  <c r="AC296" i="24" s="1"/>
  <c r="AJ296" i="24" s="1"/>
  <c r="AT296" i="24" s="1"/>
  <c r="W249" i="24"/>
  <c r="Y249" i="24" s="1"/>
  <c r="X144" i="24"/>
  <c r="AA144" i="24" s="1"/>
  <c r="AB144" i="24" s="1"/>
  <c r="AC144" i="24" s="1"/>
  <c r="AJ144" i="24" s="1"/>
  <c r="W313" i="24"/>
  <c r="Y313" i="24" s="1"/>
  <c r="AI276" i="24"/>
  <c r="AE284" i="24"/>
  <c r="AF284" i="24" s="1"/>
  <c r="X263" i="24"/>
  <c r="AA263" i="24" s="1"/>
  <c r="AB263" i="24" s="1"/>
  <c r="AC263" i="24" s="1"/>
  <c r="AJ263" i="24" s="1"/>
  <c r="AT263" i="24" s="1"/>
  <c r="AE255" i="24"/>
  <c r="AF255" i="24" s="1"/>
  <c r="X225" i="24"/>
  <c r="AA225" i="24" s="1"/>
  <c r="AB225" i="24" s="1"/>
  <c r="AC225" i="24" s="1"/>
  <c r="W296" i="24"/>
  <c r="Y296" i="24" s="1"/>
  <c r="AE296" i="24"/>
  <c r="AF296" i="24" s="1"/>
  <c r="W284" i="24"/>
  <c r="Y284" i="24" s="1"/>
  <c r="AE156" i="24"/>
  <c r="AF156" i="24" s="1"/>
  <c r="AE144" i="24"/>
  <c r="AF144" i="24" s="1"/>
  <c r="X189" i="24"/>
  <c r="AA189" i="24" s="1"/>
  <c r="AB189" i="24" s="1"/>
  <c r="AC189" i="24" s="1"/>
  <c r="AJ189" i="24" s="1"/>
  <c r="AI249" i="24"/>
  <c r="AJ249" i="24" s="1"/>
  <c r="AT249" i="24" s="1"/>
  <c r="X284" i="24"/>
  <c r="AA284" i="24" s="1"/>
  <c r="AB284" i="24" s="1"/>
  <c r="AC284" i="24" s="1"/>
  <c r="AJ284" i="24" s="1"/>
  <c r="AT284" i="24" s="1"/>
  <c r="AI295" i="24"/>
  <c r="AJ295" i="24" s="1"/>
  <c r="AT295" i="24" s="1"/>
  <c r="W246" i="24"/>
  <c r="Y246" i="24" s="1"/>
  <c r="AI225" i="24"/>
  <c r="X156" i="24"/>
  <c r="AA156" i="24" s="1"/>
  <c r="AB156" i="24" s="1"/>
  <c r="AC156" i="24" s="1"/>
  <c r="AJ156" i="24" s="1"/>
  <c r="W144" i="24"/>
  <c r="Y144" i="24" s="1"/>
  <c r="AE194" i="24"/>
  <c r="AF194" i="24" s="1"/>
  <c r="AE295" i="24"/>
  <c r="AG295" i="24" s="1"/>
  <c r="AE242" i="24"/>
  <c r="W242" i="24"/>
  <c r="Y242" i="24" s="1"/>
  <c r="W145" i="24"/>
  <c r="Y145" i="24" s="1"/>
  <c r="AE189" i="24"/>
  <c r="W295" i="24"/>
  <c r="Y295" i="24" s="1"/>
  <c r="W255" i="24"/>
  <c r="Y255" i="24" s="1"/>
  <c r="W306" i="24"/>
  <c r="Y306" i="24" s="1"/>
  <c r="AE252" i="24"/>
  <c r="AF252" i="24" s="1"/>
  <c r="X306" i="24"/>
  <c r="AA306" i="24" s="1"/>
  <c r="AB306" i="24" s="1"/>
  <c r="AC306" i="24" s="1"/>
  <c r="AE308" i="24"/>
  <c r="AF308" i="24" s="1"/>
  <c r="AE267" i="24"/>
  <c r="AF267" i="24" s="1"/>
  <c r="X255" i="24"/>
  <c r="AA255" i="24" s="1"/>
  <c r="AB255" i="24" s="1"/>
  <c r="AC255" i="24" s="1"/>
  <c r="AJ255" i="24" s="1"/>
  <c r="AT255" i="24" s="1"/>
  <c r="AE269" i="24"/>
  <c r="AE113" i="24"/>
  <c r="AF113" i="24" s="1"/>
  <c r="AE120" i="24"/>
  <c r="AF120" i="24" s="1"/>
  <c r="AE174" i="24"/>
  <c r="W298" i="24"/>
  <c r="Y298" i="24" s="1"/>
  <c r="W238" i="24"/>
  <c r="Y238" i="24" s="1"/>
  <c r="W113" i="24"/>
  <c r="Y113" i="24" s="1"/>
  <c r="AE168" i="24"/>
  <c r="X113" i="24"/>
  <c r="AA113" i="24" s="1"/>
  <c r="AB113" i="24" s="1"/>
  <c r="AC113" i="24" s="1"/>
  <c r="AJ113" i="24" s="1"/>
  <c r="W120" i="24"/>
  <c r="Y120" i="24" s="1"/>
  <c r="W189" i="24"/>
  <c r="Y189" i="24" s="1"/>
  <c r="X209" i="24"/>
  <c r="AA209" i="24" s="1"/>
  <c r="AB209" i="24" s="1"/>
  <c r="AC209" i="24" s="1"/>
  <c r="AJ209" i="24" s="1"/>
  <c r="W174" i="24"/>
  <c r="Y174" i="24" s="1"/>
  <c r="X174" i="24"/>
  <c r="AA174" i="24" s="1"/>
  <c r="AB174" i="24" s="1"/>
  <c r="AC174" i="24" s="1"/>
  <c r="AJ174" i="24" s="1"/>
  <c r="AE186" i="24"/>
  <c r="AF186" i="24" s="1"/>
  <c r="X89" i="24"/>
  <c r="AA89" i="24" s="1"/>
  <c r="AB89" i="24" s="1"/>
  <c r="AC89" i="24" s="1"/>
  <c r="W186" i="24"/>
  <c r="Y186" i="24" s="1"/>
  <c r="AE201" i="24"/>
  <c r="AF201" i="24" s="1"/>
  <c r="X112" i="24"/>
  <c r="AA112" i="24" s="1"/>
  <c r="AB112" i="24" s="1"/>
  <c r="AC112" i="24" s="1"/>
  <c r="AE150" i="24"/>
  <c r="AF150" i="24" s="1"/>
  <c r="AE179" i="24"/>
  <c r="AF179" i="24" s="1"/>
  <c r="W119" i="24"/>
  <c r="Y119" i="24" s="1"/>
  <c r="AI172" i="24"/>
  <c r="W50" i="24"/>
  <c r="Y50" i="24" s="1"/>
  <c r="W101" i="24"/>
  <c r="Y101" i="24" s="1"/>
  <c r="AE100" i="24"/>
  <c r="AF100" i="24" s="1"/>
  <c r="AE60" i="24"/>
  <c r="AF60" i="24" s="1"/>
  <c r="X25" i="24"/>
  <c r="AA25" i="24" s="1"/>
  <c r="AB25" i="24" s="1"/>
  <c r="AC25" i="24" s="1"/>
  <c r="AJ25" i="24" s="1"/>
  <c r="AE101" i="24"/>
  <c r="AF101" i="24" s="1"/>
  <c r="W150" i="24"/>
  <c r="Y150" i="24" s="1"/>
  <c r="W179" i="24"/>
  <c r="Y179" i="24" s="1"/>
  <c r="X181" i="24"/>
  <c r="AA181" i="24" s="1"/>
  <c r="AB181" i="24" s="1"/>
  <c r="AC181" i="24" s="1"/>
  <c r="X208" i="24"/>
  <c r="AA208" i="24" s="1"/>
  <c r="AB208" i="24" s="1"/>
  <c r="AC208" i="24" s="1"/>
  <c r="W128" i="24"/>
  <c r="Y128" i="24" s="1"/>
  <c r="X196" i="24"/>
  <c r="AA196" i="24" s="1"/>
  <c r="AB196" i="24" s="1"/>
  <c r="AC196" i="24" s="1"/>
  <c r="AJ196" i="24" s="1"/>
  <c r="AE128" i="24"/>
  <c r="AG128" i="24" s="1"/>
  <c r="AI112" i="24"/>
  <c r="W60" i="24"/>
  <c r="Y60" i="24" s="1"/>
  <c r="X92" i="24"/>
  <c r="AA92" i="24" s="1"/>
  <c r="AB92" i="24" s="1"/>
  <c r="AC92" i="24" s="1"/>
  <c r="W181" i="24"/>
  <c r="Y181" i="24" s="1"/>
  <c r="AI181" i="24"/>
  <c r="CD166" i="24"/>
  <c r="CD113" i="24"/>
  <c r="W154" i="24"/>
  <c r="Y154" i="24" s="1"/>
  <c r="X162" i="24"/>
  <c r="AA162" i="24" s="1"/>
  <c r="AB162" i="24" s="1"/>
  <c r="AC162" i="24" s="1"/>
  <c r="AJ162" i="24" s="1"/>
  <c r="X206" i="24"/>
  <c r="AA206" i="24" s="1"/>
  <c r="AB206" i="24" s="1"/>
  <c r="AC206" i="24" s="1"/>
  <c r="AJ206" i="24" s="1"/>
  <c r="X46" i="24"/>
  <c r="AA46" i="24" s="1"/>
  <c r="AB46" i="24" s="1"/>
  <c r="AC46" i="24" s="1"/>
  <c r="AI54" i="24"/>
  <c r="X18" i="24"/>
  <c r="AA18" i="24" s="1"/>
  <c r="AB18" i="24" s="1"/>
  <c r="AC18" i="24" s="1"/>
  <c r="W188" i="24"/>
  <c r="Y188" i="24" s="1"/>
  <c r="AI207" i="24"/>
  <c r="X157" i="24"/>
  <c r="AA157" i="24" s="1"/>
  <c r="AB157" i="24" s="1"/>
  <c r="AC157" i="24" s="1"/>
  <c r="AE137" i="24"/>
  <c r="AG137" i="24" s="1"/>
  <c r="AI18" i="24"/>
  <c r="W27" i="24"/>
  <c r="Y27" i="24" s="1"/>
  <c r="W78" i="24"/>
  <c r="Y78" i="24" s="1"/>
  <c r="X54" i="24"/>
  <c r="AA54" i="24" s="1"/>
  <c r="AB54" i="24" s="1"/>
  <c r="AC54" i="24" s="1"/>
  <c r="X95" i="24"/>
  <c r="AA95" i="24" s="1"/>
  <c r="AB95" i="24" s="1"/>
  <c r="AC95" i="24" s="1"/>
  <c r="AJ95" i="24" s="1"/>
  <c r="X148" i="24"/>
  <c r="AA148" i="24" s="1"/>
  <c r="AB148" i="24" s="1"/>
  <c r="AC148" i="24" s="1"/>
  <c r="AE125" i="24"/>
  <c r="AF125" i="24" s="1"/>
  <c r="W87" i="24"/>
  <c r="Y87" i="24" s="1"/>
  <c r="W54" i="24"/>
  <c r="Y54" i="24" s="1"/>
  <c r="W10" i="24"/>
  <c r="Y10" i="24" s="1"/>
  <c r="X10" i="24"/>
  <c r="AA10" i="24" s="1"/>
  <c r="AB10" i="24" s="1"/>
  <c r="AC10" i="24" s="1"/>
  <c r="AJ10" i="24" s="1"/>
  <c r="X199" i="24"/>
  <c r="AA199" i="24" s="1"/>
  <c r="AB199" i="24" s="1"/>
  <c r="AC199" i="24" s="1"/>
  <c r="AJ199" i="24" s="1"/>
  <c r="AE134" i="24"/>
  <c r="AF134" i="24" s="1"/>
  <c r="AE142" i="24"/>
  <c r="AG142" i="24" s="1"/>
  <c r="AE210" i="24"/>
  <c r="AF210" i="24" s="1"/>
  <c r="AI170" i="24"/>
  <c r="AJ170" i="24" s="1"/>
  <c r="W19" i="24"/>
  <c r="Y19" i="24" s="1"/>
  <c r="X36" i="24"/>
  <c r="AA36" i="24" s="1"/>
  <c r="AB36" i="24" s="1"/>
  <c r="AC36" i="24" s="1"/>
  <c r="AJ36" i="24" s="1"/>
  <c r="AE78" i="24"/>
  <c r="AG78" i="24" s="1"/>
  <c r="W157" i="24"/>
  <c r="Y157" i="24" s="1"/>
  <c r="W203" i="24"/>
  <c r="Y203" i="24" s="1"/>
  <c r="X192" i="24"/>
  <c r="AA192" i="24" s="1"/>
  <c r="AB192" i="24" s="1"/>
  <c r="AC192" i="24" s="1"/>
  <c r="AJ192" i="24" s="1"/>
  <c r="AE159" i="24"/>
  <c r="AI78" i="24"/>
  <c r="AJ78" i="24" s="1"/>
  <c r="AI203" i="24"/>
  <c r="AI165" i="24"/>
  <c r="AJ165" i="24" s="1"/>
  <c r="W31" i="24"/>
  <c r="Y31" i="24" s="1"/>
  <c r="W46" i="24"/>
  <c r="Y46" i="24" s="1"/>
  <c r="X41" i="24"/>
  <c r="AA41" i="24" s="1"/>
  <c r="AB41" i="24" s="1"/>
  <c r="AC41" i="24" s="1"/>
  <c r="AE96" i="24"/>
  <c r="AF96" i="24" s="1"/>
  <c r="X161" i="24"/>
  <c r="AA161" i="24" s="1"/>
  <c r="AB161" i="24" s="1"/>
  <c r="AC161" i="24" s="1"/>
  <c r="AJ161" i="24" s="1"/>
  <c r="X188" i="24"/>
  <c r="AA188" i="24" s="1"/>
  <c r="AB188" i="24" s="1"/>
  <c r="AC188" i="24" s="1"/>
  <c r="AJ188" i="24" s="1"/>
  <c r="W205" i="24"/>
  <c r="Y205" i="24" s="1"/>
  <c r="W182" i="24"/>
  <c r="Y182" i="24" s="1"/>
  <c r="AE205" i="24"/>
  <c r="AF205" i="24" s="1"/>
  <c r="AE170" i="24"/>
  <c r="AG170" i="24" s="1"/>
  <c r="W194" i="24"/>
  <c r="Y194" i="24" s="1"/>
  <c r="W206" i="24"/>
  <c r="Y206" i="24" s="1"/>
  <c r="W199" i="24"/>
  <c r="Y199" i="24" s="1"/>
  <c r="X50" i="24"/>
  <c r="AA50" i="24" s="1"/>
  <c r="AB50" i="24" s="1"/>
  <c r="AC50" i="24" s="1"/>
  <c r="AJ50" i="24" s="1"/>
  <c r="AI46" i="24"/>
  <c r="AI157" i="24"/>
  <c r="AE56" i="24"/>
  <c r="AG56" i="24" s="1"/>
  <c r="W165" i="24"/>
  <c r="Y165" i="24" s="1"/>
  <c r="X203" i="24"/>
  <c r="AA203" i="24" s="1"/>
  <c r="AB203" i="24" s="1"/>
  <c r="AC203" i="24" s="1"/>
  <c r="AJ203" i="24" s="1"/>
  <c r="X177" i="24"/>
  <c r="AA177" i="24" s="1"/>
  <c r="AB177" i="24" s="1"/>
  <c r="AC177" i="24" s="1"/>
  <c r="AJ177" i="24" s="1"/>
  <c r="W36" i="24"/>
  <c r="Y36" i="24" s="1"/>
  <c r="AI210" i="24"/>
  <c r="W18" i="24"/>
  <c r="Y18" i="24" s="1"/>
  <c r="AI53" i="24"/>
  <c r="AJ53" i="24" s="1"/>
  <c r="AE95" i="24"/>
  <c r="AF95" i="24" s="1"/>
  <c r="AI148" i="24"/>
  <c r="AI21" i="24"/>
  <c r="AE21" i="24"/>
  <c r="AF21" i="24" s="1"/>
  <c r="W42" i="24"/>
  <c r="Y42" i="24" s="1"/>
  <c r="W155" i="24"/>
  <c r="Y155" i="24" s="1"/>
  <c r="X187" i="24"/>
  <c r="AA187" i="24" s="1"/>
  <c r="AB187" i="24" s="1"/>
  <c r="AC187" i="24" s="1"/>
  <c r="X136" i="24"/>
  <c r="AA136" i="24" s="1"/>
  <c r="AB136" i="24" s="1"/>
  <c r="AC136" i="24" s="1"/>
  <c r="AE163" i="24"/>
  <c r="AF163" i="24" s="1"/>
  <c r="W149" i="24"/>
  <c r="Y149" i="24" s="1"/>
  <c r="X122" i="24"/>
  <c r="AA122" i="24" s="1"/>
  <c r="AB122" i="24" s="1"/>
  <c r="AC122" i="24" s="1"/>
  <c r="AE141" i="24"/>
  <c r="AF141" i="24" s="1"/>
  <c r="CD136" i="24"/>
  <c r="CD138" i="24"/>
  <c r="CD148" i="24"/>
  <c r="CD145" i="24"/>
  <c r="W136" i="24"/>
  <c r="Y136" i="24" s="1"/>
  <c r="X163" i="24"/>
  <c r="AA163" i="24" s="1"/>
  <c r="AB163" i="24" s="1"/>
  <c r="AC163" i="24" s="1"/>
  <c r="AJ163" i="24" s="1"/>
  <c r="AE145" i="24"/>
  <c r="AF145" i="24" s="1"/>
  <c r="CD133" i="24"/>
  <c r="AI83" i="24"/>
  <c r="AJ83" i="24" s="1"/>
  <c r="AI101" i="24"/>
  <c r="AJ101" i="24" s="1"/>
  <c r="AI97" i="24"/>
  <c r="AI92" i="24"/>
  <c r="AI179" i="24"/>
  <c r="AJ179" i="24" s="1"/>
  <c r="AI150" i="24"/>
  <c r="AJ150" i="24" s="1"/>
  <c r="AI208" i="24"/>
  <c r="W74" i="24"/>
  <c r="Y74" i="24" s="1"/>
  <c r="AE25" i="24"/>
  <c r="X60" i="24"/>
  <c r="AA60" i="24" s="1"/>
  <c r="AB60" i="24" s="1"/>
  <c r="AC60" i="24" s="1"/>
  <c r="AJ60" i="24" s="1"/>
  <c r="AE131" i="24"/>
  <c r="AF131" i="24" s="1"/>
  <c r="AE183" i="24"/>
  <c r="AG183" i="24" s="1"/>
  <c r="X186" i="24"/>
  <c r="AA186" i="24" s="1"/>
  <c r="AB186" i="24" s="1"/>
  <c r="AC186" i="24" s="1"/>
  <c r="AJ186" i="24" s="1"/>
  <c r="AE172" i="24"/>
  <c r="AF172" i="24" s="1"/>
  <c r="AE196" i="24"/>
  <c r="W131" i="24"/>
  <c r="Y131" i="24" s="1"/>
  <c r="AI201" i="24"/>
  <c r="W89" i="24"/>
  <c r="Y89" i="24" s="1"/>
  <c r="CD118" i="24"/>
  <c r="CD116" i="24"/>
  <c r="CD120" i="24"/>
  <c r="AI89" i="24"/>
  <c r="AI183" i="24"/>
  <c r="AJ183" i="24" s="1"/>
  <c r="W25" i="24"/>
  <c r="Y25" i="24" s="1"/>
  <c r="W82" i="24"/>
  <c r="Y82" i="24" s="1"/>
  <c r="W92" i="24"/>
  <c r="Y92" i="24" s="1"/>
  <c r="X100" i="24"/>
  <c r="AA100" i="24" s="1"/>
  <c r="AB100" i="24" s="1"/>
  <c r="AC100" i="24" s="1"/>
  <c r="AJ100" i="24" s="1"/>
  <c r="AI128" i="24"/>
  <c r="AJ128" i="24" s="1"/>
  <c r="W208" i="24"/>
  <c r="Y208" i="24" s="1"/>
  <c r="W196" i="24"/>
  <c r="Y196" i="24" s="1"/>
  <c r="AE119" i="24"/>
  <c r="AF119" i="24" s="1"/>
  <c r="AE50" i="24"/>
  <c r="AF50" i="24" s="1"/>
  <c r="CD135" i="24"/>
  <c r="CD162" i="24"/>
  <c r="CD114" i="24"/>
  <c r="CD161" i="24"/>
  <c r="CD115" i="24"/>
  <c r="CD184" i="24"/>
  <c r="CD137" i="24"/>
  <c r="AI74" i="24"/>
  <c r="AJ74" i="24" s="1"/>
  <c r="AI136" i="24"/>
  <c r="W53" i="24"/>
  <c r="Y53" i="24" s="1"/>
  <c r="W86" i="24"/>
  <c r="Y86" i="24" s="1"/>
  <c r="W95" i="24"/>
  <c r="Y95" i="24" s="1"/>
  <c r="W56" i="24"/>
  <c r="Y56" i="24" s="1"/>
  <c r="AE69" i="24"/>
  <c r="AF69" i="24" s="1"/>
  <c r="X31" i="24"/>
  <c r="AA31" i="24" s="1"/>
  <c r="AB31" i="24" s="1"/>
  <c r="AC31" i="24" s="1"/>
  <c r="X96" i="24"/>
  <c r="AA96" i="24" s="1"/>
  <c r="AB96" i="24" s="1"/>
  <c r="AC96" i="24" s="1"/>
  <c r="W183" i="24"/>
  <c r="Y183" i="24" s="1"/>
  <c r="AE188" i="24"/>
  <c r="AF188" i="24" s="1"/>
  <c r="AE112" i="24"/>
  <c r="AE199" i="24"/>
  <c r="AF199" i="24" s="1"/>
  <c r="X131" i="24"/>
  <c r="AA131" i="24" s="1"/>
  <c r="AB131" i="24" s="1"/>
  <c r="AC131" i="24" s="1"/>
  <c r="AJ131" i="24" s="1"/>
  <c r="X134" i="24"/>
  <c r="AA134" i="24" s="1"/>
  <c r="AB134" i="24" s="1"/>
  <c r="AC134" i="24" s="1"/>
  <c r="AJ134" i="24" s="1"/>
  <c r="AE123" i="24"/>
  <c r="AF123" i="24" s="1"/>
  <c r="W192" i="24"/>
  <c r="Y192" i="24" s="1"/>
  <c r="W125" i="24"/>
  <c r="Y125" i="24" s="1"/>
  <c r="W142" i="24"/>
  <c r="Y142" i="24" s="1"/>
  <c r="AE184" i="24"/>
  <c r="AF184" i="24" s="1"/>
  <c r="X152" i="24"/>
  <c r="AA152" i="24" s="1"/>
  <c r="AB152" i="24" s="1"/>
  <c r="AC152" i="24" s="1"/>
  <c r="AJ152" i="24" s="1"/>
  <c r="AE148" i="24"/>
  <c r="AF148" i="24" s="1"/>
  <c r="AE162" i="24"/>
  <c r="X116" i="24"/>
  <c r="AA116" i="24" s="1"/>
  <c r="AB116" i="24" s="1"/>
  <c r="AC116" i="24" s="1"/>
  <c r="AE192" i="24"/>
  <c r="AF192" i="24" s="1"/>
  <c r="X125" i="24"/>
  <c r="AA125" i="24" s="1"/>
  <c r="AB125" i="24" s="1"/>
  <c r="AC125" i="24" s="1"/>
  <c r="AJ125" i="24" s="1"/>
  <c r="W207" i="24"/>
  <c r="Y207" i="24" s="1"/>
  <c r="W170" i="24"/>
  <c r="Y170" i="24" s="1"/>
  <c r="X167" i="24"/>
  <c r="AA167" i="24" s="1"/>
  <c r="AB167" i="24" s="1"/>
  <c r="AC167" i="24" s="1"/>
  <c r="AJ167" i="24" s="1"/>
  <c r="X172" i="24"/>
  <c r="AA172" i="24" s="1"/>
  <c r="AB172" i="24" s="1"/>
  <c r="AC172" i="24" s="1"/>
  <c r="AE165" i="24"/>
  <c r="AG165" i="24" s="1"/>
  <c r="AE177" i="24"/>
  <c r="AF177" i="24" s="1"/>
  <c r="AE206" i="24"/>
  <c r="AF206" i="24" s="1"/>
  <c r="X194" i="24"/>
  <c r="AA194" i="24" s="1"/>
  <c r="AB194" i="24" s="1"/>
  <c r="AC194" i="24" s="1"/>
  <c r="AJ194" i="24" s="1"/>
  <c r="X210" i="24"/>
  <c r="AA210" i="24" s="1"/>
  <c r="AB210" i="24" s="1"/>
  <c r="AC210" i="24" s="1"/>
  <c r="X201" i="24"/>
  <c r="AA201" i="24" s="1"/>
  <c r="AB201" i="24" s="1"/>
  <c r="AC201" i="24" s="1"/>
  <c r="AI31" i="24"/>
  <c r="AI96" i="24"/>
  <c r="AI87" i="24"/>
  <c r="AI142" i="24"/>
  <c r="AJ142" i="24" s="1"/>
  <c r="AI169" i="24"/>
  <c r="AI205" i="24"/>
  <c r="AJ205" i="24" s="1"/>
  <c r="AE27" i="24"/>
  <c r="AF27" i="24" s="1"/>
  <c r="AE36" i="24"/>
  <c r="AF36" i="24" s="1"/>
  <c r="AE10" i="24"/>
  <c r="AF10" i="24" s="1"/>
  <c r="AE161" i="24"/>
  <c r="AF161" i="24" s="1"/>
  <c r="W134" i="24"/>
  <c r="Y134" i="24" s="1"/>
  <c r="W162" i="24"/>
  <c r="Y162" i="24" s="1"/>
  <c r="W159" i="24"/>
  <c r="Y159" i="24" s="1"/>
  <c r="X169" i="24"/>
  <c r="AA169" i="24" s="1"/>
  <c r="AB169" i="24" s="1"/>
  <c r="AC169" i="24" s="1"/>
  <c r="W137" i="24"/>
  <c r="Y137" i="24" s="1"/>
  <c r="X159" i="24"/>
  <c r="AA159" i="24" s="1"/>
  <c r="AB159" i="24" s="1"/>
  <c r="AC159" i="24" s="1"/>
  <c r="AJ159" i="24" s="1"/>
  <c r="X119" i="24"/>
  <c r="AA119" i="24" s="1"/>
  <c r="AB119" i="24" s="1"/>
  <c r="AC119" i="24" s="1"/>
  <c r="AJ119" i="24" s="1"/>
  <c r="AI56" i="24"/>
  <c r="AJ56" i="24" s="1"/>
  <c r="AE83" i="24"/>
  <c r="AG83" i="24" s="1"/>
  <c r="X40" i="24"/>
  <c r="AA40" i="24" s="1"/>
  <c r="AB40" i="24" s="1"/>
  <c r="AC40" i="24" s="1"/>
  <c r="AI116" i="24"/>
  <c r="W105" i="24"/>
  <c r="Y105" i="24" s="1"/>
  <c r="W79" i="24"/>
  <c r="Y79" i="24" s="1"/>
  <c r="AE105" i="24"/>
  <c r="AF105" i="24" s="1"/>
  <c r="X33" i="24"/>
  <c r="AA33" i="24" s="1"/>
  <c r="AB33" i="24" s="1"/>
  <c r="AC33" i="24" s="1"/>
  <c r="AE55" i="24"/>
  <c r="X87" i="24"/>
  <c r="AA87" i="24" s="1"/>
  <c r="AB87" i="24" s="1"/>
  <c r="AC87" i="24" s="1"/>
  <c r="AJ87" i="24" s="1"/>
  <c r="W161" i="24"/>
  <c r="Y161" i="24" s="1"/>
  <c r="W152" i="24"/>
  <c r="Y152" i="24" s="1"/>
  <c r="W163" i="24"/>
  <c r="Y163" i="24" s="1"/>
  <c r="AE182" i="24"/>
  <c r="AG182" i="24" s="1"/>
  <c r="X155" i="24"/>
  <c r="AA155" i="24" s="1"/>
  <c r="AB155" i="24" s="1"/>
  <c r="AC155" i="24" s="1"/>
  <c r="X123" i="24"/>
  <c r="AA123" i="24" s="1"/>
  <c r="AB123" i="24" s="1"/>
  <c r="AC123" i="24" s="1"/>
  <c r="W116" i="24"/>
  <c r="Y116" i="24" s="1"/>
  <c r="W169" i="24"/>
  <c r="Y169" i="24" s="1"/>
  <c r="W167" i="24"/>
  <c r="Y167" i="24" s="1"/>
  <c r="AE152" i="24"/>
  <c r="X115" i="24"/>
  <c r="AA115" i="24" s="1"/>
  <c r="AB115" i="24" s="1"/>
  <c r="AC115" i="24" s="1"/>
  <c r="X207" i="24"/>
  <c r="AA207" i="24" s="1"/>
  <c r="AB207" i="24" s="1"/>
  <c r="AC207" i="24" s="1"/>
  <c r="W187" i="24"/>
  <c r="Y187" i="24" s="1"/>
  <c r="W115" i="24"/>
  <c r="Y115" i="24" s="1"/>
  <c r="AE154" i="24"/>
  <c r="AG154" i="24" s="1"/>
  <c r="X149" i="24"/>
  <c r="AA149" i="24" s="1"/>
  <c r="AB149" i="24" s="1"/>
  <c r="AC149" i="24" s="1"/>
  <c r="AJ149" i="24" s="1"/>
  <c r="AE122" i="24"/>
  <c r="W177" i="24"/>
  <c r="Y177" i="24" s="1"/>
  <c r="AI145" i="24"/>
  <c r="AJ145" i="24" s="1"/>
  <c r="AI68" i="24"/>
  <c r="AE104" i="24"/>
  <c r="AF104" i="24" s="1"/>
  <c r="AI154" i="24"/>
  <c r="AJ154" i="24" s="1"/>
  <c r="AI123" i="24"/>
  <c r="AI182" i="24"/>
  <c r="AJ182" i="24" s="1"/>
  <c r="AI122" i="24"/>
  <c r="AI184" i="24"/>
  <c r="AJ184" i="24" s="1"/>
  <c r="AI141" i="24"/>
  <c r="AJ141" i="24" s="1"/>
  <c r="AE42" i="24"/>
  <c r="AF42" i="24" s="1"/>
  <c r="W184" i="24"/>
  <c r="Y184" i="24" s="1"/>
  <c r="AI155" i="24"/>
  <c r="W72" i="24"/>
  <c r="Y72" i="24" s="1"/>
  <c r="X27" i="24"/>
  <c r="AA27" i="24" s="1"/>
  <c r="AB27" i="24" s="1"/>
  <c r="AC27" i="24" s="1"/>
  <c r="AJ27" i="24" s="1"/>
  <c r="X105" i="24"/>
  <c r="AA105" i="24" s="1"/>
  <c r="AB105" i="24" s="1"/>
  <c r="AC105" i="24" s="1"/>
  <c r="AJ105" i="24" s="1"/>
  <c r="X19" i="24"/>
  <c r="AA19" i="24" s="1"/>
  <c r="AB19" i="24" s="1"/>
  <c r="AC19" i="24" s="1"/>
  <c r="AE91" i="24"/>
  <c r="AF91" i="24" s="1"/>
  <c r="AI187" i="24"/>
  <c r="AI137" i="24"/>
  <c r="AJ137" i="24" s="1"/>
  <c r="AI115" i="24"/>
  <c r="W141" i="24"/>
  <c r="Y141" i="24" s="1"/>
  <c r="AE167" i="24"/>
  <c r="AE149" i="24"/>
  <c r="AF149" i="24" s="1"/>
  <c r="X21" i="24"/>
  <c r="AA21" i="24" s="1"/>
  <c r="AB21" i="24" s="1"/>
  <c r="AC21" i="24" s="1"/>
  <c r="X42" i="24"/>
  <c r="AA42" i="24" s="1"/>
  <c r="AB42" i="24" s="1"/>
  <c r="AC42" i="24" s="1"/>
  <c r="AJ42" i="24" s="1"/>
  <c r="AI79" i="24"/>
  <c r="W63" i="24"/>
  <c r="Y63" i="24" s="1"/>
  <c r="X79" i="24"/>
  <c r="AA79" i="24" s="1"/>
  <c r="AB79" i="24" s="1"/>
  <c r="AC79" i="24" s="1"/>
  <c r="X72" i="24"/>
  <c r="AA72" i="24" s="1"/>
  <c r="AB72" i="24" s="1"/>
  <c r="AC72" i="24" s="1"/>
  <c r="AI55" i="24"/>
  <c r="AI72" i="24"/>
  <c r="W83" i="24"/>
  <c r="Y83" i="24" s="1"/>
  <c r="W40" i="24"/>
  <c r="Y40" i="24" s="1"/>
  <c r="X55" i="24"/>
  <c r="AA55" i="24" s="1"/>
  <c r="AB55" i="24" s="1"/>
  <c r="AC55" i="24" s="1"/>
  <c r="W68" i="24"/>
  <c r="Y68" i="24" s="1"/>
  <c r="W23" i="24"/>
  <c r="Y23" i="24" s="1"/>
  <c r="W41" i="24"/>
  <c r="Y41" i="24" s="1"/>
  <c r="W69" i="24"/>
  <c r="Y69" i="24" s="1"/>
  <c r="X68" i="24"/>
  <c r="AA68" i="24" s="1"/>
  <c r="AB68" i="24" s="1"/>
  <c r="AC68" i="24" s="1"/>
  <c r="X51" i="24"/>
  <c r="AA51" i="24" s="1"/>
  <c r="AB51" i="24" s="1"/>
  <c r="AC51" i="24" s="1"/>
  <c r="X97" i="24"/>
  <c r="AA97" i="24" s="1"/>
  <c r="AB97" i="24" s="1"/>
  <c r="AC97" i="24" s="1"/>
  <c r="X28" i="24"/>
  <c r="AA28" i="24" s="1"/>
  <c r="AB28" i="24" s="1"/>
  <c r="AC28" i="24" s="1"/>
  <c r="AE86" i="24"/>
  <c r="AF86" i="24" s="1"/>
  <c r="AE85" i="24"/>
  <c r="AF85" i="24" s="1"/>
  <c r="X70" i="24"/>
  <c r="AA70" i="24" s="1"/>
  <c r="AB70" i="24" s="1"/>
  <c r="AC70" i="24" s="1"/>
  <c r="AJ70" i="24" s="1"/>
  <c r="AE32" i="24"/>
  <c r="AF32" i="24" s="1"/>
  <c r="X104" i="24"/>
  <c r="AA104" i="24" s="1"/>
  <c r="AB104" i="24" s="1"/>
  <c r="AC104" i="24" s="1"/>
  <c r="AJ104" i="24" s="1"/>
  <c r="W70" i="24"/>
  <c r="Y70" i="24" s="1"/>
  <c r="AI86" i="24"/>
  <c r="AJ86" i="24" s="1"/>
  <c r="AI33" i="24"/>
  <c r="AI41" i="24"/>
  <c r="AI28" i="24"/>
  <c r="AI19" i="24"/>
  <c r="AI51" i="24"/>
  <c r="AE33" i="24"/>
  <c r="AE14" i="24"/>
  <c r="AF14" i="24" s="1"/>
  <c r="X69" i="24"/>
  <c r="AA69" i="24" s="1"/>
  <c r="AB69" i="24" s="1"/>
  <c r="AC69" i="24" s="1"/>
  <c r="AJ69" i="24" s="1"/>
  <c r="AE23" i="24"/>
  <c r="X29" i="24"/>
  <c r="AA29" i="24" s="1"/>
  <c r="AB29" i="24" s="1"/>
  <c r="AC29" i="24" s="1"/>
  <c r="W51" i="24"/>
  <c r="Y51" i="24" s="1"/>
  <c r="AE53" i="24"/>
  <c r="AF53" i="24" s="1"/>
  <c r="AI29" i="24"/>
  <c r="AI85" i="24"/>
  <c r="AJ85" i="24" s="1"/>
  <c r="W29" i="24"/>
  <c r="Y29" i="24" s="1"/>
  <c r="W85" i="24"/>
  <c r="Y85" i="24" s="1"/>
  <c r="W28" i="24"/>
  <c r="Y28" i="24" s="1"/>
  <c r="W104" i="24"/>
  <c r="Y104" i="24" s="1"/>
  <c r="AE97" i="24"/>
  <c r="AF97" i="24" s="1"/>
  <c r="AE70" i="24"/>
  <c r="AE73" i="24"/>
  <c r="AG73" i="24" s="1"/>
  <c r="AI63" i="24"/>
  <c r="AI14" i="24"/>
  <c r="AJ14" i="24" s="1"/>
  <c r="AI59" i="24"/>
  <c r="AI91" i="24"/>
  <c r="AJ91" i="24" s="1"/>
  <c r="P100" i="24"/>
  <c r="W14" i="24"/>
  <c r="Y14" i="24" s="1"/>
  <c r="AE74" i="24"/>
  <c r="AG74" i="24" s="1"/>
  <c r="AI40" i="24"/>
  <c r="AI73" i="24"/>
  <c r="AJ73" i="24" s="1"/>
  <c r="AI82" i="24"/>
  <c r="P101" i="24"/>
  <c r="P32" i="24"/>
  <c r="W100" i="24"/>
  <c r="Y100" i="24" s="1"/>
  <c r="W59" i="24"/>
  <c r="Y59" i="24" s="1"/>
  <c r="AP32" i="24"/>
  <c r="AP25" i="24"/>
  <c r="AP86" i="24"/>
  <c r="X59" i="24"/>
  <c r="AA59" i="24" s="1"/>
  <c r="AB59" i="24" s="1"/>
  <c r="AC59" i="24" s="1"/>
  <c r="X82" i="24"/>
  <c r="AA82" i="24" s="1"/>
  <c r="AB82" i="24" s="1"/>
  <c r="AC82" i="24" s="1"/>
  <c r="W32" i="24"/>
  <c r="Y32" i="24" s="1"/>
  <c r="X23" i="24"/>
  <c r="AA23" i="24" s="1"/>
  <c r="AB23" i="24" s="1"/>
  <c r="AC23" i="24" s="1"/>
  <c r="AJ23" i="24" s="1"/>
  <c r="X32" i="24"/>
  <c r="AA32" i="24" s="1"/>
  <c r="AB32" i="24" s="1"/>
  <c r="AC32" i="24" s="1"/>
  <c r="AJ32" i="24" s="1"/>
  <c r="X63" i="24"/>
  <c r="AA63" i="24" s="1"/>
  <c r="AB63" i="24" s="1"/>
  <c r="AC63" i="24" s="1"/>
  <c r="W64" i="24"/>
  <c r="Y64" i="24" s="1"/>
  <c r="W91" i="24"/>
  <c r="Y91" i="24" s="1"/>
  <c r="W73" i="24"/>
  <c r="Y73" i="24" s="1"/>
  <c r="AP104" i="24"/>
  <c r="AP100" i="24"/>
  <c r="X64" i="24"/>
  <c r="AA64" i="24" s="1"/>
  <c r="AB64" i="24" s="1"/>
  <c r="AC64" i="24" s="1"/>
  <c r="P85" i="24"/>
  <c r="P25" i="24"/>
  <c r="P104" i="24"/>
  <c r="AP33" i="24"/>
  <c r="AP78" i="24"/>
  <c r="AP69" i="24"/>
  <c r="AP23" i="24"/>
  <c r="P69" i="24"/>
  <c r="P70" i="24"/>
  <c r="P97" i="24"/>
  <c r="Q92" i="24"/>
  <c r="R92" i="24" s="1"/>
  <c r="P74" i="24"/>
  <c r="Q74" i="24"/>
  <c r="R74" i="24" s="1"/>
  <c r="Q72" i="24"/>
  <c r="R72" i="24" s="1"/>
  <c r="P29" i="24"/>
  <c r="Q29" i="24"/>
  <c r="R29" i="24" s="1"/>
  <c r="Q56" i="24"/>
  <c r="R56" i="24" s="1"/>
  <c r="P14" i="24"/>
  <c r="Q14" i="24"/>
  <c r="R14" i="24" s="1"/>
  <c r="Q50" i="24"/>
  <c r="R50" i="24" s="1"/>
  <c r="Q31" i="24"/>
  <c r="R31" i="24" s="1"/>
  <c r="AP96" i="24"/>
  <c r="Q96" i="24"/>
  <c r="R96" i="24" s="1"/>
  <c r="P73" i="24"/>
  <c r="AP19" i="24"/>
  <c r="AP70" i="24"/>
  <c r="AP21" i="24"/>
  <c r="AP73" i="24"/>
  <c r="AP68" i="24"/>
  <c r="P23" i="24"/>
  <c r="P21" i="24"/>
  <c r="Q91" i="24"/>
  <c r="R91" i="24" s="1"/>
  <c r="P83" i="24"/>
  <c r="Q83" i="24"/>
  <c r="R83" i="24" s="1"/>
  <c r="P36" i="24"/>
  <c r="Q36" i="24"/>
  <c r="Q89" i="24"/>
  <c r="R89" i="24" s="1"/>
  <c r="AP82" i="24"/>
  <c r="Q82" i="24"/>
  <c r="R82" i="24" s="1"/>
  <c r="P18" i="24"/>
  <c r="Q18" i="24"/>
  <c r="R18" i="24" s="1"/>
  <c r="Q60" i="24"/>
  <c r="R60" i="24" s="1"/>
  <c r="Q42" i="24"/>
  <c r="R42" i="24" s="1"/>
  <c r="Q40" i="24"/>
  <c r="R40" i="24" s="1"/>
  <c r="Q87" i="24"/>
  <c r="R87" i="24" s="1"/>
  <c r="P46" i="24"/>
  <c r="Q46" i="24"/>
  <c r="R46" i="24" s="1"/>
  <c r="P87" i="24"/>
  <c r="P60" i="24"/>
  <c r="P42" i="24"/>
  <c r="P40" i="24"/>
  <c r="R36" i="24"/>
  <c r="P91" i="24"/>
  <c r="J93" i="24"/>
  <c r="W93" i="24" s="1"/>
  <c r="Y93" i="24" s="1"/>
  <c r="Q93" i="24"/>
  <c r="R93" i="24" s="1"/>
  <c r="J80" i="24"/>
  <c r="J35" i="24"/>
  <c r="AI35" i="24" s="1"/>
  <c r="Q35" i="24"/>
  <c r="R35" i="24" s="1"/>
  <c r="J34" i="24"/>
  <c r="AI34" i="24" s="1"/>
  <c r="Q34" i="24"/>
  <c r="R34" i="24" s="1"/>
  <c r="J94" i="24"/>
  <c r="AE94" i="24" s="1"/>
  <c r="AF94" i="24" s="1"/>
  <c r="Q94" i="24"/>
  <c r="R94" i="24" s="1"/>
  <c r="J76" i="24"/>
  <c r="J81" i="24"/>
  <c r="AE81" i="24" s="1"/>
  <c r="AF81" i="24" s="1"/>
  <c r="Q81" i="24"/>
  <c r="R81" i="24" s="1"/>
  <c r="J66" i="24"/>
  <c r="Q66" i="24"/>
  <c r="R66" i="24" s="1"/>
  <c r="J16" i="24"/>
  <c r="W16" i="24" s="1"/>
  <c r="Y16" i="24" s="1"/>
  <c r="P16" i="24"/>
  <c r="J99" i="24"/>
  <c r="AI99" i="24" s="1"/>
  <c r="J17" i="24"/>
  <c r="AP17" i="24"/>
  <c r="J48" i="24"/>
  <c r="W48" i="24" s="1"/>
  <c r="Y48" i="24" s="1"/>
  <c r="Q48" i="24"/>
  <c r="R48" i="24" s="1"/>
  <c r="AP31" i="24"/>
  <c r="J49" i="24"/>
  <c r="AI49" i="24" s="1"/>
  <c r="Q49" i="24"/>
  <c r="R49" i="24" s="1"/>
  <c r="J20" i="24"/>
  <c r="Q20" i="24"/>
  <c r="R20" i="24" s="1"/>
  <c r="J77" i="24"/>
  <c r="AP77" i="24"/>
  <c r="J47" i="24"/>
  <c r="AI47" i="24" s="1"/>
  <c r="J67" i="24"/>
  <c r="P67" i="24"/>
  <c r="J24" i="24"/>
  <c r="Q24" i="24"/>
  <c r="R24" i="24" s="1"/>
  <c r="J8" i="24"/>
  <c r="X8" i="24" s="1"/>
  <c r="AA8" i="24" s="1"/>
  <c r="AB8" i="24" s="1"/>
  <c r="AC8" i="24" s="1"/>
  <c r="Q8" i="24"/>
  <c r="R8" i="24" s="1"/>
  <c r="J90" i="24"/>
  <c r="J88" i="24"/>
  <c r="X88" i="24" s="1"/>
  <c r="AA88" i="24" s="1"/>
  <c r="AB88" i="24" s="1"/>
  <c r="AC88" i="24" s="1"/>
  <c r="P88" i="24"/>
  <c r="P72" i="24"/>
  <c r="P96" i="24"/>
  <c r="AP14" i="24"/>
  <c r="AP92" i="24"/>
  <c r="AP74" i="24"/>
  <c r="AP29" i="24"/>
  <c r="P92" i="24"/>
  <c r="J45" i="24"/>
  <c r="J62" i="24"/>
  <c r="J22" i="24"/>
  <c r="W22" i="24" s="1"/>
  <c r="Y22" i="24" s="1"/>
  <c r="J26" i="24"/>
  <c r="W26" i="24" s="1"/>
  <c r="Y26" i="24" s="1"/>
  <c r="J52" i="24"/>
  <c r="J13" i="24"/>
  <c r="X13" i="24" s="1"/>
  <c r="AA13" i="24" s="1"/>
  <c r="AB13" i="24" s="1"/>
  <c r="AC13" i="24" s="1"/>
  <c r="J15" i="24"/>
  <c r="AI15" i="24" s="1"/>
  <c r="J84" i="24"/>
  <c r="Q84" i="24"/>
  <c r="J9" i="24"/>
  <c r="J37" i="24"/>
  <c r="AI37" i="24" s="1"/>
  <c r="AP37" i="24"/>
  <c r="J38" i="24"/>
  <c r="J39" i="24"/>
  <c r="AP39" i="24"/>
  <c r="J30" i="24"/>
  <c r="Q30" i="24"/>
  <c r="R30" i="24" s="1"/>
  <c r="P31" i="24"/>
  <c r="J12" i="24"/>
  <c r="W12" i="24" s="1"/>
  <c r="Y12" i="24" s="1"/>
  <c r="J65" i="24"/>
  <c r="AI65" i="24" s="1"/>
  <c r="J11" i="24"/>
  <c r="AI11" i="24" s="1"/>
  <c r="J102" i="24"/>
  <c r="AI102" i="24" s="1"/>
  <c r="J71" i="24"/>
  <c r="W71" i="24" s="1"/>
  <c r="Y71" i="24" s="1"/>
  <c r="J44" i="24"/>
  <c r="AE44" i="24" s="1"/>
  <c r="J43" i="24"/>
  <c r="X43" i="24" s="1"/>
  <c r="AA43" i="24" s="1"/>
  <c r="AB43" i="24" s="1"/>
  <c r="AC43" i="24" s="1"/>
  <c r="J103" i="24"/>
  <c r="J58" i="24"/>
  <c r="AI58" i="24" s="1"/>
  <c r="J75" i="24"/>
  <c r="J57" i="24"/>
  <c r="J61" i="24"/>
  <c r="X61" i="24" s="1"/>
  <c r="AA61" i="24" s="1"/>
  <c r="AB61" i="24" s="1"/>
  <c r="AC61" i="24" s="1"/>
  <c r="J98" i="24"/>
  <c r="J6" i="24"/>
  <c r="X6" i="24" s="1"/>
  <c r="AA6" i="24" s="1"/>
  <c r="AB6" i="24" s="1"/>
  <c r="AC6" i="24" s="1"/>
  <c r="J7" i="24"/>
  <c r="AP7" i="24"/>
  <c r="P55" i="24"/>
  <c r="R55" i="24"/>
  <c r="P33" i="24"/>
  <c r="R33" i="24"/>
  <c r="AP76" i="24"/>
  <c r="AP85" i="24"/>
  <c r="R97" i="24"/>
  <c r="AP89" i="24"/>
  <c r="R105" i="24"/>
  <c r="P105" i="24"/>
  <c r="R19" i="24"/>
  <c r="P19" i="24"/>
  <c r="P82" i="24"/>
  <c r="AP97" i="24"/>
  <c r="P86" i="24"/>
  <c r="R86" i="24"/>
  <c r="P54" i="24"/>
  <c r="R54" i="24"/>
  <c r="P20" i="24"/>
  <c r="AP95" i="24"/>
  <c r="P95" i="24"/>
  <c r="P80" i="24"/>
  <c r="P15" i="24"/>
  <c r="AP15" i="24"/>
  <c r="P24" i="24"/>
  <c r="AP24" i="24"/>
  <c r="P50" i="24"/>
  <c r="P47" i="24"/>
  <c r="P9" i="24"/>
  <c r="P90" i="24"/>
  <c r="P17" i="24"/>
  <c r="P38" i="24"/>
  <c r="P30" i="24"/>
  <c r="AP9" i="24"/>
  <c r="AP98" i="24"/>
  <c r="AP50" i="24"/>
  <c r="R51" i="24"/>
  <c r="P51" i="24"/>
  <c r="P59" i="24"/>
  <c r="R59" i="24"/>
  <c r="P89" i="24"/>
  <c r="P76" i="24"/>
  <c r="P66" i="24"/>
  <c r="AP51" i="24"/>
  <c r="AP58" i="24"/>
  <c r="AP66" i="24"/>
  <c r="AP47" i="24"/>
  <c r="AP38" i="24"/>
  <c r="P34" i="24"/>
  <c r="P99" i="24"/>
  <c r="P61" i="24"/>
  <c r="P37" i="24"/>
  <c r="P48" i="24"/>
  <c r="P56" i="24"/>
  <c r="AI64" i="24"/>
  <c r="AE110" i="24"/>
  <c r="AG110" i="24" s="1"/>
  <c r="AI110" i="24"/>
  <c r="AJ110" i="24" s="1"/>
  <c r="W110" i="24"/>
  <c r="Y110" i="24" s="1"/>
  <c r="CD299" i="24"/>
  <c r="CD276" i="24"/>
  <c r="CD218" i="25"/>
  <c r="CD241" i="24"/>
  <c r="CD263" i="25"/>
  <c r="CD225" i="25"/>
  <c r="CD285" i="25"/>
  <c r="CD231" i="24"/>
  <c r="CD228" i="25"/>
  <c r="CD266" i="25"/>
  <c r="CD232" i="25"/>
  <c r="CD221" i="25"/>
  <c r="CD229" i="25"/>
  <c r="CD251" i="25"/>
  <c r="CD252" i="25"/>
  <c r="CD315" i="25"/>
  <c r="CD231" i="25"/>
  <c r="CD268" i="25"/>
  <c r="CD220" i="25"/>
  <c r="CD248" i="25"/>
  <c r="CD245" i="25"/>
  <c r="CD262" i="25"/>
  <c r="CD239" i="25"/>
  <c r="CD254" i="25"/>
  <c r="CD226" i="25"/>
  <c r="CD257" i="25"/>
  <c r="CD313" i="25"/>
  <c r="CD250" i="25"/>
  <c r="AJ5" i="24"/>
  <c r="CD237" i="25"/>
  <c r="CD297" i="25"/>
  <c r="CD316" i="25"/>
  <c r="CD219" i="25"/>
  <c r="CD235" i="25"/>
  <c r="CD222" i="25"/>
  <c r="CD223" i="25"/>
  <c r="CD271" i="25"/>
  <c r="CD258" i="24"/>
  <c r="CD226" i="24"/>
  <c r="CD243" i="24"/>
  <c r="CD271" i="24"/>
  <c r="CD229" i="24"/>
  <c r="CD247" i="24"/>
  <c r="CD297" i="24"/>
  <c r="CD239" i="24"/>
  <c r="V110" i="25"/>
  <c r="X110" i="25" s="1"/>
  <c r="AG5" i="24"/>
  <c r="AN5" i="24" s="1"/>
  <c r="CD312" i="24"/>
  <c r="CD305" i="24"/>
  <c r="CD267" i="24"/>
  <c r="CD311" i="24"/>
  <c r="CD222" i="24"/>
  <c r="CD235" i="24"/>
  <c r="CD295" i="24"/>
  <c r="CD220" i="24"/>
  <c r="CD257" i="24"/>
  <c r="CD242" i="24"/>
  <c r="CD263" i="24"/>
  <c r="CD261" i="24"/>
  <c r="CD316" i="24"/>
  <c r="CD218" i="24"/>
  <c r="CD308" i="24"/>
  <c r="CD266" i="24"/>
  <c r="CD225" i="24"/>
  <c r="CD269" i="24"/>
  <c r="CD292" i="24"/>
  <c r="CD264" i="24"/>
  <c r="CD288" i="24"/>
  <c r="CD237" i="24"/>
  <c r="CD221" i="24"/>
  <c r="CD272" i="24"/>
  <c r="CD296" i="24"/>
  <c r="CD310" i="24"/>
  <c r="CD254" i="24"/>
  <c r="CD253" i="24"/>
  <c r="CD238" i="24"/>
  <c r="CD248" i="24"/>
  <c r="CD280" i="24"/>
  <c r="CD300" i="24"/>
  <c r="CD232" i="24"/>
  <c r="CD228" i="24"/>
  <c r="CD224" i="24"/>
  <c r="CD284" i="24"/>
  <c r="CD281" i="24"/>
  <c r="CD301" i="24"/>
  <c r="CD262" i="24"/>
  <c r="CD223" i="24"/>
  <c r="W110" i="25"/>
  <c r="Z110" i="25" s="1"/>
  <c r="AA110" i="25" s="1"/>
  <c r="AB110" i="25" s="1"/>
  <c r="AI110" i="25" s="1"/>
  <c r="V5" i="25"/>
  <c r="X5" i="25" s="1"/>
  <c r="CD24" i="25"/>
  <c r="CD10" i="25"/>
  <c r="CD19" i="25"/>
  <c r="CD15" i="25"/>
  <c r="CD30" i="25"/>
  <c r="CD13" i="25"/>
  <c r="CD16" i="25"/>
  <c r="CD8" i="25"/>
  <c r="W5" i="25"/>
  <c r="CD85" i="25"/>
  <c r="CD34" i="25"/>
  <c r="CD22" i="25"/>
  <c r="CD27" i="25"/>
  <c r="CD18" i="25"/>
  <c r="CD77" i="25"/>
  <c r="CD57" i="25"/>
  <c r="CD11" i="25"/>
  <c r="CD71" i="25"/>
  <c r="CD23" i="25"/>
  <c r="CD88" i="25"/>
  <c r="CD28" i="25"/>
  <c r="CD41" i="25"/>
  <c r="CD35" i="25"/>
  <c r="CD9" i="25"/>
  <c r="CD7" i="25"/>
  <c r="CD66" i="25"/>
  <c r="CD62" i="25"/>
  <c r="CD5" i="25"/>
  <c r="AF180" i="25"/>
  <c r="AF300" i="25"/>
  <c r="AF124" i="25"/>
  <c r="AF133" i="25"/>
  <c r="AF197" i="25"/>
  <c r="AF113" i="25"/>
  <c r="AF122" i="25"/>
  <c r="AF173" i="25"/>
  <c r="AF240" i="25"/>
  <c r="AF120" i="25"/>
  <c r="AF315" i="25"/>
  <c r="AF117" i="25"/>
  <c r="AF142" i="25"/>
  <c r="AF242" i="25"/>
  <c r="AF208" i="25"/>
  <c r="AF218" i="25"/>
  <c r="AF157" i="25"/>
  <c r="AF228" i="25"/>
  <c r="AF203" i="25"/>
  <c r="AF291" i="25"/>
  <c r="AF287" i="25"/>
  <c r="AF159" i="25"/>
  <c r="AF191" i="25"/>
  <c r="AF210" i="25"/>
  <c r="AF252" i="25"/>
  <c r="AF303" i="25"/>
  <c r="AF130" i="25"/>
  <c r="AF202" i="25"/>
  <c r="AF299" i="25"/>
  <c r="AF166" i="25"/>
  <c r="AF198" i="25"/>
  <c r="AF286" i="25"/>
  <c r="AF127" i="25"/>
  <c r="AF194" i="25"/>
  <c r="AF247" i="25"/>
  <c r="AF132" i="25"/>
  <c r="AF196" i="25"/>
  <c r="AF201" i="25"/>
  <c r="AF188" i="25"/>
  <c r="AF279" i="25"/>
  <c r="AF209" i="25"/>
  <c r="AF136" i="25"/>
  <c r="AF152" i="25"/>
  <c r="AF184" i="25"/>
  <c r="AF311" i="25"/>
  <c r="AF313" i="25"/>
  <c r="AF168" i="25"/>
  <c r="AF187" i="25"/>
  <c r="AF151" i="25"/>
  <c r="AF294" i="25"/>
  <c r="AF167" i="25"/>
  <c r="AF254" i="25"/>
  <c r="AF259" i="25"/>
  <c r="AF256" i="25"/>
  <c r="AF284" i="25"/>
  <c r="AF114" i="25"/>
  <c r="AF263" i="25"/>
  <c r="AF200" i="25"/>
  <c r="AF302" i="25"/>
  <c r="AF312" i="25"/>
  <c r="AF225" i="25"/>
  <c r="AF219" i="25"/>
  <c r="AF131" i="25"/>
  <c r="AF172" i="25"/>
  <c r="AF271" i="25"/>
  <c r="AF176" i="25"/>
  <c r="AF222" i="25"/>
  <c r="AF217" i="25"/>
  <c r="AF199" i="25"/>
  <c r="AF316" i="25"/>
  <c r="AF293" i="25"/>
  <c r="AF281" i="25"/>
  <c r="AF226" i="25"/>
  <c r="AF241" i="25"/>
  <c r="AF236" i="25"/>
  <c r="AF268" i="25"/>
  <c r="AF234" i="25"/>
  <c r="AF266" i="25"/>
  <c r="AF244" i="25"/>
  <c r="AF285" i="25"/>
  <c r="AF273" i="25"/>
  <c r="AF237" i="25"/>
  <c r="AF276" i="25"/>
  <c r="AF255" i="25"/>
  <c r="AF253" i="25"/>
  <c r="AF164" i="25"/>
  <c r="AF156" i="25"/>
  <c r="AF128" i="25"/>
  <c r="AF144" i="25"/>
  <c r="AF160" i="25"/>
  <c r="AF192" i="25"/>
  <c r="AF310" i="25"/>
  <c r="AF314" i="25"/>
  <c r="AF267" i="25"/>
  <c r="AF231" i="25"/>
  <c r="AF181" i="25"/>
  <c r="AF158" i="25"/>
  <c r="AF245" i="25"/>
  <c r="AF306" i="25"/>
  <c r="AF125" i="25"/>
  <c r="AF126" i="25"/>
  <c r="AF305" i="25"/>
  <c r="AF38" i="25"/>
  <c r="AF146" i="25"/>
  <c r="AF207" i="25"/>
  <c r="AF280" i="25"/>
  <c r="AF246" i="25"/>
  <c r="AF239" i="25"/>
  <c r="AF24" i="25"/>
  <c r="AF260" i="25"/>
  <c r="AF137" i="25"/>
  <c r="AF169" i="25"/>
  <c r="AF162" i="25"/>
  <c r="AF216" i="25"/>
  <c r="AF223" i="25"/>
  <c r="AF248" i="25"/>
  <c r="AF235" i="25"/>
  <c r="AF155" i="25"/>
  <c r="AF138" i="25"/>
  <c r="AF170" i="25"/>
  <c r="AF264" i="25"/>
  <c r="AF309" i="25"/>
  <c r="AF257" i="25"/>
  <c r="AF141" i="25"/>
  <c r="AF206" i="25"/>
  <c r="AF283" i="25"/>
  <c r="AF243" i="25"/>
  <c r="AF139" i="25"/>
  <c r="AF274" i="25"/>
  <c r="AF258" i="25"/>
  <c r="AF297" i="25"/>
  <c r="AF183" i="25"/>
  <c r="AF308" i="25"/>
  <c r="AF112" i="25"/>
  <c r="AF224" i="25"/>
  <c r="AF233" i="25"/>
  <c r="AF227" i="25"/>
  <c r="AF296" i="25"/>
  <c r="AF189" i="25"/>
  <c r="AF262" i="25"/>
  <c r="AF249" i="25"/>
  <c r="AF129" i="25"/>
  <c r="AF145" i="25"/>
  <c r="AF161" i="25"/>
  <c r="AF177" i="25"/>
  <c r="AF193" i="25"/>
  <c r="AF150" i="25"/>
  <c r="AF182" i="25"/>
  <c r="AF270" i="25"/>
  <c r="AF147" i="25"/>
  <c r="AF265" i="25"/>
  <c r="AF171" i="25"/>
  <c r="AF292" i="25"/>
  <c r="AF195" i="25"/>
  <c r="AF282" i="25"/>
  <c r="AF289" i="25"/>
  <c r="AF154" i="25"/>
  <c r="AF186" i="25"/>
  <c r="AF123" i="25"/>
  <c r="AF232" i="25"/>
  <c r="AF238" i="25"/>
  <c r="AF204" i="25"/>
  <c r="AF121" i="25"/>
  <c r="AF290" i="25"/>
  <c r="AF190" i="25"/>
  <c r="AF88" i="25"/>
  <c r="AF230" i="25"/>
  <c r="AF135" i="25"/>
  <c r="AF304" i="25"/>
  <c r="AF251" i="25"/>
  <c r="AF149" i="25"/>
  <c r="AF301" i="25"/>
  <c r="AF295" i="25"/>
  <c r="AF221" i="25"/>
  <c r="AF272" i="25"/>
  <c r="AF115" i="25"/>
  <c r="AF178" i="25"/>
  <c r="AF46" i="25"/>
  <c r="AF179" i="25"/>
  <c r="AF250" i="25"/>
  <c r="AF118" i="25"/>
  <c r="AF220" i="25"/>
  <c r="AF119" i="25"/>
  <c r="AF153" i="25"/>
  <c r="AF185" i="25"/>
  <c r="AF298" i="25"/>
  <c r="AF261" i="25"/>
  <c r="AF277" i="25"/>
  <c r="AF148" i="25"/>
  <c r="AF140" i="25"/>
  <c r="AF111" i="25"/>
  <c r="AF288" i="25"/>
  <c r="AF269" i="25"/>
  <c r="AF307" i="25"/>
  <c r="AF116" i="25"/>
  <c r="AF229" i="25"/>
  <c r="AF174" i="25"/>
  <c r="AF205" i="25"/>
  <c r="AF275" i="25"/>
  <c r="AF165" i="25"/>
  <c r="AF278" i="25"/>
  <c r="AF143" i="25"/>
  <c r="AF175" i="25"/>
  <c r="AF134" i="25"/>
  <c r="AF163" i="25"/>
  <c r="AF39" i="25"/>
  <c r="AF65" i="25"/>
  <c r="AF33" i="25"/>
  <c r="AF19" i="25"/>
  <c r="AF53" i="25"/>
  <c r="AF94" i="25"/>
  <c r="AF102" i="25"/>
  <c r="AF69" i="25"/>
  <c r="AF28" i="25"/>
  <c r="AF79" i="25"/>
  <c r="AF29" i="25"/>
  <c r="AF85" i="25"/>
  <c r="AF41" i="25"/>
  <c r="AF75" i="25"/>
  <c r="AF91" i="25"/>
  <c r="AF95" i="25"/>
  <c r="AF16" i="25"/>
  <c r="AF93" i="25"/>
  <c r="AF97" i="25"/>
  <c r="AF101" i="25"/>
  <c r="AF105" i="25"/>
  <c r="AF45" i="25"/>
  <c r="AF58" i="25"/>
  <c r="AF43" i="25"/>
  <c r="AF56" i="25"/>
  <c r="AF86" i="25"/>
  <c r="AF13" i="25"/>
  <c r="AF71" i="25"/>
  <c r="AF72" i="25"/>
  <c r="AF87" i="25"/>
  <c r="AF21" i="25"/>
  <c r="AF98" i="25"/>
  <c r="AF89" i="25"/>
  <c r="AF6" i="25"/>
  <c r="AF10" i="25"/>
  <c r="AF61" i="25"/>
  <c r="AF15" i="25"/>
  <c r="AF67" i="25"/>
  <c r="AF54" i="25"/>
  <c r="AF26" i="25"/>
  <c r="AF32" i="25"/>
  <c r="AF103" i="25"/>
  <c r="AF81" i="25"/>
  <c r="AF99" i="25"/>
  <c r="AF37" i="25"/>
  <c r="AF20" i="25"/>
  <c r="AF70" i="25"/>
  <c r="AF74" i="25"/>
  <c r="AF18" i="25"/>
  <c r="AF42" i="25"/>
  <c r="AF48" i="25"/>
  <c r="AF80" i="25"/>
  <c r="AF78" i="25"/>
  <c r="AF27" i="25"/>
  <c r="AF47" i="25"/>
  <c r="AF63" i="25"/>
  <c r="AF57" i="25"/>
  <c r="AF73" i="25"/>
  <c r="AF31" i="25"/>
  <c r="AF51" i="25"/>
  <c r="AF92" i="25"/>
  <c r="AF104" i="25"/>
  <c r="AF52" i="25"/>
  <c r="AF82" i="25"/>
  <c r="AF60" i="25"/>
  <c r="AF90" i="25"/>
  <c r="AF66" i="25"/>
  <c r="AF76" i="25"/>
  <c r="AF30" i="25"/>
  <c r="AF8" i="25"/>
  <c r="AF17" i="25"/>
  <c r="AF34" i="25"/>
  <c r="AF23" i="25"/>
  <c r="AF50" i="25"/>
  <c r="AF59" i="25"/>
  <c r="AF44" i="25"/>
  <c r="AF40" i="25"/>
  <c r="AF22" i="25"/>
  <c r="AF35" i="25"/>
  <c r="AF12" i="25"/>
  <c r="AF64" i="25"/>
  <c r="AF62" i="25"/>
  <c r="AF14" i="25"/>
  <c r="AF25" i="25"/>
  <c r="AF77" i="25"/>
  <c r="AF7" i="25"/>
  <c r="AF11" i="25"/>
  <c r="AF83" i="25"/>
  <c r="AF49" i="25"/>
  <c r="AF84" i="25"/>
  <c r="AF55" i="25"/>
  <c r="AF96" i="25"/>
  <c r="AF100" i="25"/>
  <c r="AF9" i="25"/>
  <c r="AF36" i="25"/>
  <c r="AF68" i="25"/>
  <c r="AB277" i="25"/>
  <c r="AI277" i="25" s="1"/>
  <c r="AS277" i="25" s="1"/>
  <c r="AB232" i="25"/>
  <c r="AI232" i="25" s="1"/>
  <c r="AS232" i="25" s="1"/>
  <c r="AB238" i="25"/>
  <c r="AI238" i="25" s="1"/>
  <c r="AS238" i="25" s="1"/>
  <c r="AB204" i="25"/>
  <c r="AI204" i="25" s="1"/>
  <c r="AB197" i="25"/>
  <c r="AI197" i="25" s="1"/>
  <c r="AB122" i="25"/>
  <c r="AI122" i="25" s="1"/>
  <c r="AB294" i="25"/>
  <c r="AI294" i="25" s="1"/>
  <c r="AS294" i="25" s="1"/>
  <c r="AB117" i="25"/>
  <c r="AI117" i="25" s="1"/>
  <c r="AB243" i="25"/>
  <c r="AI243" i="25" s="1"/>
  <c r="AS243" i="25" s="1"/>
  <c r="AB139" i="25"/>
  <c r="AI139" i="25" s="1"/>
  <c r="AB301" i="25"/>
  <c r="AI301" i="25" s="1"/>
  <c r="AS301" i="25" s="1"/>
  <c r="AB259" i="25"/>
  <c r="AI259" i="25" s="1"/>
  <c r="AS259" i="25" s="1"/>
  <c r="AB226" i="25"/>
  <c r="AI226" i="25" s="1"/>
  <c r="AS226" i="25" s="1"/>
  <c r="AB112" i="25"/>
  <c r="AI112" i="25" s="1"/>
  <c r="AB128" i="25"/>
  <c r="AI128" i="25" s="1"/>
  <c r="AB144" i="25"/>
  <c r="AI144" i="25" s="1"/>
  <c r="AB160" i="25"/>
  <c r="AI160" i="25" s="1"/>
  <c r="AB229" i="25"/>
  <c r="AI229" i="25" s="1"/>
  <c r="AS229" i="25" s="1"/>
  <c r="AB287" i="25"/>
  <c r="AI287" i="25" s="1"/>
  <c r="AS287" i="25" s="1"/>
  <c r="AB159" i="25"/>
  <c r="AI159" i="25" s="1"/>
  <c r="AB191" i="25"/>
  <c r="AI191" i="25" s="1"/>
  <c r="AB249" i="25"/>
  <c r="AI249" i="25" s="1"/>
  <c r="AS249" i="25" s="1"/>
  <c r="AB129" i="25"/>
  <c r="AI129" i="25" s="1"/>
  <c r="AB193" i="25"/>
  <c r="AI193" i="25" s="1"/>
  <c r="AB250" i="25"/>
  <c r="AI250" i="25" s="1"/>
  <c r="AS250" i="25" s="1"/>
  <c r="AB311" i="25"/>
  <c r="AI311" i="25" s="1"/>
  <c r="AS311" i="25" s="1"/>
  <c r="AB260" i="25"/>
  <c r="AI260" i="25" s="1"/>
  <c r="AS260" i="25" s="1"/>
  <c r="AB219" i="25"/>
  <c r="AI219" i="25" s="1"/>
  <c r="AS219" i="25" s="1"/>
  <c r="AB187" i="25"/>
  <c r="AI187" i="25" s="1"/>
  <c r="AB222" i="25"/>
  <c r="AI222" i="25" s="1"/>
  <c r="AS222" i="25" s="1"/>
  <c r="AB264" i="25"/>
  <c r="AI264" i="25" s="1"/>
  <c r="AS264" i="25" s="1"/>
  <c r="AB290" i="25"/>
  <c r="AI290" i="25" s="1"/>
  <c r="AS290" i="25" s="1"/>
  <c r="AB295" i="25"/>
  <c r="AI295" i="25" s="1"/>
  <c r="AS295" i="25" s="1"/>
  <c r="AB245" i="25"/>
  <c r="AI245" i="25" s="1"/>
  <c r="AS245" i="25" s="1"/>
  <c r="AB125" i="25"/>
  <c r="AI125" i="25" s="1"/>
  <c r="AB192" i="25"/>
  <c r="AI192" i="25" s="1"/>
  <c r="AB307" i="25"/>
  <c r="AI307" i="25" s="1"/>
  <c r="AS307" i="25" s="1"/>
  <c r="AB116" i="25"/>
  <c r="AI116" i="25" s="1"/>
  <c r="AB280" i="25"/>
  <c r="AI280" i="25" s="1"/>
  <c r="AS280" i="25" s="1"/>
  <c r="AB262" i="25"/>
  <c r="AI262" i="25" s="1"/>
  <c r="AS262" i="25" s="1"/>
  <c r="AB244" i="25"/>
  <c r="AI244" i="25" s="1"/>
  <c r="AS244" i="25" s="1"/>
  <c r="AB210" i="25"/>
  <c r="AI210" i="25" s="1"/>
  <c r="AB302" i="25"/>
  <c r="AI302" i="25" s="1"/>
  <c r="AS302" i="25" s="1"/>
  <c r="AB145" i="25"/>
  <c r="AI145" i="25" s="1"/>
  <c r="AB239" i="25"/>
  <c r="AI239" i="25" s="1"/>
  <c r="AS239" i="25" s="1"/>
  <c r="AB270" i="25"/>
  <c r="AI270" i="25" s="1"/>
  <c r="AS270" i="25" s="1"/>
  <c r="AB118" i="25"/>
  <c r="AI118" i="25" s="1"/>
  <c r="AB119" i="25"/>
  <c r="AI119" i="25" s="1"/>
  <c r="AB195" i="25"/>
  <c r="AI195" i="25" s="1"/>
  <c r="AB313" i="25"/>
  <c r="AI313" i="25" s="1"/>
  <c r="AS313" i="25" s="1"/>
  <c r="AB267" i="25"/>
  <c r="AI267" i="25" s="1"/>
  <c r="AS267" i="25" s="1"/>
  <c r="AB248" i="25"/>
  <c r="AI248" i="25" s="1"/>
  <c r="AS248" i="25" s="1"/>
  <c r="AB235" i="25"/>
  <c r="AI235" i="25" s="1"/>
  <c r="AS235" i="25" s="1"/>
  <c r="AB155" i="25"/>
  <c r="AI155" i="25" s="1"/>
  <c r="AB123" i="25"/>
  <c r="AI123" i="25" s="1"/>
  <c r="AB300" i="25"/>
  <c r="AI300" i="25" s="1"/>
  <c r="AS300" i="25" s="1"/>
  <c r="AB190" i="25"/>
  <c r="AI190" i="25" s="1"/>
  <c r="AB293" i="25"/>
  <c r="AI293" i="25" s="1"/>
  <c r="AS293" i="25" s="1"/>
  <c r="AB141" i="25"/>
  <c r="AI141" i="25" s="1"/>
  <c r="AB206" i="25"/>
  <c r="AI206" i="25" s="1"/>
  <c r="AB304" i="25"/>
  <c r="AI304" i="25" s="1"/>
  <c r="AS304" i="25" s="1"/>
  <c r="AB231" i="25"/>
  <c r="AI231" i="25" s="1"/>
  <c r="AS231" i="25" s="1"/>
  <c r="AB149" i="25"/>
  <c r="AI149" i="25" s="1"/>
  <c r="AB181" i="25"/>
  <c r="AI181" i="25" s="1"/>
  <c r="AB242" i="25"/>
  <c r="AI242" i="25" s="1"/>
  <c r="AS242" i="25" s="1"/>
  <c r="AB208" i="25"/>
  <c r="AI208" i="25" s="1"/>
  <c r="AB218" i="25"/>
  <c r="AI218" i="25" s="1"/>
  <c r="AS218" i="25" s="1"/>
  <c r="AB258" i="25"/>
  <c r="AI258" i="25" s="1"/>
  <c r="AS258" i="25" s="1"/>
  <c r="AB221" i="25"/>
  <c r="AI221" i="25" s="1"/>
  <c r="AS221" i="25" s="1"/>
  <c r="AB136" i="25"/>
  <c r="AI136" i="25" s="1"/>
  <c r="AB152" i="25"/>
  <c r="AI152" i="25" s="1"/>
  <c r="AB146" i="25"/>
  <c r="AI146" i="25" s="1"/>
  <c r="AB236" i="25"/>
  <c r="AI236" i="25" s="1"/>
  <c r="AS236" i="25" s="1"/>
  <c r="AB268" i="25"/>
  <c r="AI268" i="25" s="1"/>
  <c r="AS268" i="25" s="1"/>
  <c r="AB233" i="25"/>
  <c r="AI233" i="25" s="1"/>
  <c r="AS233" i="25" s="1"/>
  <c r="AB263" i="25"/>
  <c r="AI263" i="25" s="1"/>
  <c r="AS263" i="25" s="1"/>
  <c r="AB296" i="25"/>
  <c r="AI296" i="25" s="1"/>
  <c r="AS296" i="25" s="1"/>
  <c r="AB273" i="25"/>
  <c r="AI273" i="25" s="1"/>
  <c r="AS273" i="25" s="1"/>
  <c r="AB161" i="25"/>
  <c r="AI161" i="25" s="1"/>
  <c r="AB179" i="25"/>
  <c r="AI179" i="25" s="1"/>
  <c r="AB176" i="25"/>
  <c r="AI176" i="25" s="1"/>
  <c r="AB130" i="25"/>
  <c r="AI130" i="25" s="1"/>
  <c r="AB143" i="25"/>
  <c r="AI143" i="25" s="1"/>
  <c r="AB175" i="25"/>
  <c r="AI175" i="25" s="1"/>
  <c r="AB299" i="25"/>
  <c r="AI299" i="25" s="1"/>
  <c r="AS299" i="25" s="1"/>
  <c r="AB163" i="25"/>
  <c r="AI163" i="25" s="1"/>
  <c r="AB223" i="25"/>
  <c r="AI223" i="25" s="1"/>
  <c r="AS223" i="25" s="1"/>
  <c r="AB309" i="25"/>
  <c r="AI309" i="25" s="1"/>
  <c r="AS309" i="25" s="1"/>
  <c r="AB133" i="25"/>
  <c r="AI133" i="25" s="1"/>
  <c r="AB281" i="25"/>
  <c r="AI281" i="25" s="1"/>
  <c r="AS281" i="25" s="1"/>
  <c r="AB228" i="25"/>
  <c r="AI228" i="25" s="1"/>
  <c r="AS228" i="25" s="1"/>
  <c r="AB297" i="25"/>
  <c r="AI297" i="25" s="1"/>
  <c r="AS297" i="25" s="1"/>
  <c r="AB305" i="25"/>
  <c r="AI305" i="25" s="1"/>
  <c r="AS305" i="25" s="1"/>
  <c r="AB227" i="25"/>
  <c r="AI227" i="25" s="1"/>
  <c r="AS227" i="25" s="1"/>
  <c r="AB234" i="25"/>
  <c r="AI234" i="25" s="1"/>
  <c r="AS234" i="25" s="1"/>
  <c r="AB200" i="25"/>
  <c r="AI200" i="25" s="1"/>
  <c r="AB266" i="25"/>
  <c r="AI266" i="25" s="1"/>
  <c r="AS266" i="25" s="1"/>
  <c r="AB174" i="25"/>
  <c r="AI174" i="25" s="1"/>
  <c r="AB246" i="25"/>
  <c r="AI246" i="25" s="1"/>
  <c r="AS246" i="25" s="1"/>
  <c r="AB285" i="25"/>
  <c r="AI285" i="25" s="1"/>
  <c r="AS285" i="25" s="1"/>
  <c r="AB177" i="25"/>
  <c r="AI177" i="25" s="1"/>
  <c r="AB147" i="25"/>
  <c r="AI147" i="25" s="1"/>
  <c r="AB237" i="25"/>
  <c r="AI237" i="25" s="1"/>
  <c r="AS237" i="25" s="1"/>
  <c r="AB252" i="25"/>
  <c r="AI252" i="25" s="1"/>
  <c r="AS252" i="25" s="1"/>
  <c r="AB303" i="25"/>
  <c r="AI303" i="25" s="1"/>
  <c r="AS303" i="25" s="1"/>
  <c r="AB225" i="25"/>
  <c r="AI225" i="25" s="1"/>
  <c r="AS225" i="25" s="1"/>
  <c r="AB131" i="25"/>
  <c r="AI131" i="25" s="1"/>
  <c r="AI70" i="25"/>
  <c r="AI69" i="25"/>
  <c r="AI64" i="25"/>
  <c r="AI11" i="25"/>
  <c r="AI61" i="25"/>
  <c r="AI31" i="25"/>
  <c r="AI51" i="25"/>
  <c r="AI81" i="25"/>
  <c r="AI93" i="25"/>
  <c r="AI97" i="25"/>
  <c r="AI101" i="25"/>
  <c r="AI105" i="25"/>
  <c r="AI86" i="25"/>
  <c r="AI71" i="25"/>
  <c r="AI42" i="25"/>
  <c r="AI28" i="25"/>
  <c r="AI62" i="25"/>
  <c r="AI15" i="25"/>
  <c r="AI67" i="25"/>
  <c r="AI103" i="25"/>
  <c r="AI96" i="25"/>
  <c r="AI100" i="25"/>
  <c r="AI8" i="25"/>
  <c r="AI30" i="25"/>
  <c r="AI20" i="25"/>
  <c r="AI59" i="25"/>
  <c r="AI21" i="25"/>
  <c r="AI48" i="25"/>
  <c r="AI79" i="25"/>
  <c r="AI83" i="25"/>
  <c r="AI41" i="25"/>
  <c r="AI17" i="25"/>
  <c r="AI88" i="25"/>
  <c r="AI53" i="25"/>
  <c r="AI94" i="25"/>
  <c r="AI102" i="25"/>
  <c r="AI22" i="25"/>
  <c r="AI35" i="25"/>
  <c r="AI78" i="25"/>
  <c r="AI27" i="25"/>
  <c r="AI47" i="25"/>
  <c r="AI63" i="25"/>
  <c r="AI92" i="25"/>
  <c r="AI104" i="25"/>
  <c r="AI9" i="25"/>
  <c r="AI52" i="25"/>
  <c r="AI216" i="25"/>
  <c r="AS216" i="25" s="1"/>
  <c r="X76" i="25"/>
  <c r="X73" i="25"/>
  <c r="X75" i="25"/>
  <c r="X111" i="25"/>
  <c r="X316" i="25"/>
  <c r="X45" i="25"/>
  <c r="X86" i="25"/>
  <c r="AI199" i="25"/>
  <c r="X124" i="25"/>
  <c r="X50" i="25"/>
  <c r="X19" i="25"/>
  <c r="X164" i="25"/>
  <c r="X299" i="25"/>
  <c r="AI114" i="25"/>
  <c r="X252" i="25"/>
  <c r="AI278" i="25"/>
  <c r="AS278" i="25" s="1"/>
  <c r="AI138" i="25"/>
  <c r="X125" i="25"/>
  <c r="X225" i="25"/>
  <c r="X72" i="25"/>
  <c r="X33" i="25"/>
  <c r="X17" i="25"/>
  <c r="X23" i="25"/>
  <c r="X98" i="25"/>
  <c r="X20" i="25"/>
  <c r="X277" i="25"/>
  <c r="X172" i="25"/>
  <c r="X44" i="25"/>
  <c r="X132" i="25"/>
  <c r="X196" i="25"/>
  <c r="X122" i="25"/>
  <c r="X204" i="25"/>
  <c r="X79" i="25"/>
  <c r="X24" i="25"/>
  <c r="X60" i="25"/>
  <c r="X49" i="25"/>
  <c r="X171" i="25"/>
  <c r="X208" i="25"/>
  <c r="X269" i="25"/>
  <c r="X300" i="25"/>
  <c r="X18" i="25"/>
  <c r="X99" i="25"/>
  <c r="X83" i="25"/>
  <c r="X179" i="25"/>
  <c r="X136" i="25"/>
  <c r="X184" i="25"/>
  <c r="X41" i="25"/>
  <c r="X81" i="25"/>
  <c r="X29" i="25"/>
  <c r="X85" i="25"/>
  <c r="X31" i="25"/>
  <c r="X96" i="25"/>
  <c r="X104" i="25"/>
  <c r="X313" i="25"/>
  <c r="X144" i="25"/>
  <c r="AI196" i="25"/>
  <c r="X52" i="25"/>
  <c r="X84" i="25"/>
  <c r="X147" i="25"/>
  <c r="X152" i="25"/>
  <c r="X153" i="25"/>
  <c r="X182" i="25"/>
  <c r="X149" i="25"/>
  <c r="X46" i="25"/>
  <c r="X68" i="25"/>
  <c r="X82" i="25"/>
  <c r="X70" i="25"/>
  <c r="X209" i="25"/>
  <c r="X315" i="25"/>
  <c r="X54" i="25"/>
  <c r="X16" i="25"/>
  <c r="X32" i="25"/>
  <c r="X67" i="25"/>
  <c r="X200" i="25"/>
  <c r="AI312" i="25"/>
  <c r="AS312" i="25" s="1"/>
  <c r="AI310" i="25"/>
  <c r="AS310" i="25" s="1"/>
  <c r="AI24" i="25"/>
  <c r="X57" i="25"/>
  <c r="X61" i="25"/>
  <c r="X92" i="25"/>
  <c r="X100" i="25"/>
  <c r="AI36" i="25"/>
  <c r="AI68" i="25"/>
  <c r="AI253" i="25"/>
  <c r="AS253" i="25" s="1"/>
  <c r="AI207" i="25"/>
  <c r="AI201" i="25"/>
  <c r="X290" i="25"/>
  <c r="AI76" i="25"/>
  <c r="X288" i="25"/>
  <c r="AI14" i="25"/>
  <c r="X224" i="25"/>
  <c r="X284" i="25"/>
  <c r="AI38" i="25"/>
  <c r="X174" i="25"/>
  <c r="AI54" i="25"/>
  <c r="X146" i="25"/>
  <c r="X253" i="25"/>
  <c r="AI275" i="25"/>
  <c r="AS275" i="25" s="1"/>
  <c r="AI82" i="25"/>
  <c r="X236" i="25"/>
  <c r="X263" i="25"/>
  <c r="AI168" i="25"/>
  <c r="AI156" i="25"/>
  <c r="AI172" i="25"/>
  <c r="AI132" i="25"/>
  <c r="AI180" i="25"/>
  <c r="AI37" i="25"/>
  <c r="AI56" i="25"/>
  <c r="AI279" i="25"/>
  <c r="AS279" i="25" s="1"/>
  <c r="AI44" i="25"/>
  <c r="AI274" i="25"/>
  <c r="AS274" i="25" s="1"/>
  <c r="AI6" i="25"/>
  <c r="AI298" i="25"/>
  <c r="AS298" i="25" s="1"/>
  <c r="X87" i="25"/>
  <c r="X183" i="25"/>
  <c r="AI135" i="25"/>
  <c r="X308" i="25"/>
  <c r="X121" i="25"/>
  <c r="X155" i="25"/>
  <c r="X37" i="25"/>
  <c r="X123" i="25"/>
  <c r="X180" i="25"/>
  <c r="AI87" i="25"/>
  <c r="X165" i="25"/>
  <c r="X189" i="25"/>
  <c r="AI142" i="25"/>
  <c r="X258" i="25"/>
  <c r="X245" i="25"/>
  <c r="X12" i="25"/>
  <c r="X43" i="25"/>
  <c r="X231" i="25"/>
  <c r="X243" i="25"/>
  <c r="X301" i="25"/>
  <c r="X22" i="25"/>
  <c r="X42" i="25"/>
  <c r="X78" i="25"/>
  <c r="X114" i="25"/>
  <c r="X115" i="25"/>
  <c r="AI288" i="25"/>
  <c r="AS288" i="25" s="1"/>
  <c r="AI115" i="25"/>
  <c r="X168" i="25"/>
  <c r="X178" i="25"/>
  <c r="AI271" i="25"/>
  <c r="AS271" i="25" s="1"/>
  <c r="X7" i="25"/>
  <c r="X11" i="25"/>
  <c r="AI29" i="25"/>
  <c r="X273" i="25"/>
  <c r="X307" i="25"/>
  <c r="AI26" i="25"/>
  <c r="X118" i="25"/>
  <c r="X304" i="25"/>
  <c r="X278" i="25"/>
  <c r="X303" i="25"/>
  <c r="X221" i="25"/>
  <c r="X163" i="25"/>
  <c r="X210" i="25"/>
  <c r="X233" i="25"/>
  <c r="X271" i="25"/>
  <c r="X62" i="25"/>
  <c r="AI162" i="25"/>
  <c r="X205" i="25"/>
  <c r="X186" i="25"/>
  <c r="X240" i="25"/>
  <c r="X58" i="25"/>
  <c r="X74" i="25"/>
  <c r="AI13" i="25"/>
  <c r="AI230" i="25"/>
  <c r="AS230" i="25" s="1"/>
  <c r="X167" i="25"/>
  <c r="X187" i="25"/>
  <c r="X30" i="25"/>
  <c r="X113" i="25"/>
  <c r="X274" i="25"/>
  <c r="X156" i="25"/>
  <c r="X295" i="25"/>
  <c r="X228" i="25"/>
  <c r="X21" i="25"/>
  <c r="AI158" i="25"/>
  <c r="AI40" i="25"/>
  <c r="AI12" i="25"/>
  <c r="X112" i="25"/>
  <c r="X27" i="25"/>
  <c r="X47" i="25"/>
  <c r="X63" i="25"/>
  <c r="X126" i="25"/>
  <c r="X203" i="25"/>
  <c r="X306" i="25"/>
  <c r="X35" i="25"/>
  <c r="X80" i="25"/>
  <c r="X151" i="25"/>
  <c r="X25" i="25"/>
  <c r="X176" i="25"/>
  <c r="X36" i="25"/>
  <c r="X66" i="25"/>
  <c r="X239" i="25"/>
  <c r="X275" i="25"/>
  <c r="AI49" i="25"/>
  <c r="X272" i="25"/>
  <c r="X202" i="25"/>
  <c r="X310" i="25"/>
  <c r="X266" i="25"/>
  <c r="X314" i="25"/>
  <c r="X94" i="25"/>
  <c r="X103" i="25"/>
  <c r="X160" i="25"/>
  <c r="X15" i="25"/>
  <c r="X131" i="25"/>
  <c r="X195" i="25"/>
  <c r="AI91" i="25"/>
  <c r="X302" i="25"/>
  <c r="X166" i="25"/>
  <c r="AI255" i="25"/>
  <c r="AS255" i="25" s="1"/>
  <c r="X234" i="25"/>
  <c r="X192" i="25"/>
  <c r="AI154" i="25"/>
  <c r="X217" i="25"/>
  <c r="AI121" i="25"/>
  <c r="AI124" i="25"/>
  <c r="X283" i="25"/>
  <c r="X257" i="25"/>
  <c r="AI72" i="25"/>
  <c r="X235" i="25"/>
  <c r="AI241" i="25"/>
  <c r="AS241" i="25" s="1"/>
  <c r="AI126" i="25"/>
  <c r="X281" i="25"/>
  <c r="AI77" i="25"/>
  <c r="X244" i="25"/>
  <c r="AI85" i="25"/>
  <c r="X162" i="25"/>
  <c r="AI291" i="25"/>
  <c r="AS291" i="25" s="1"/>
  <c r="X262" i="25"/>
  <c r="X169" i="25"/>
  <c r="X247" i="25"/>
  <c r="AI165" i="25"/>
  <c r="X255" i="25"/>
  <c r="AI202" i="25"/>
  <c r="X129" i="25"/>
  <c r="X161" i="25"/>
  <c r="X177" i="25"/>
  <c r="X193" i="25"/>
  <c r="AI286" i="25"/>
  <c r="AS286" i="25" s="1"/>
  <c r="AI148" i="25"/>
  <c r="AI186" i="25"/>
  <c r="X230" i="25"/>
  <c r="AI188" i="25"/>
  <c r="X138" i="25"/>
  <c r="X254" i="25"/>
  <c r="X241" i="25"/>
  <c r="X267" i="25"/>
  <c r="X8" i="25"/>
  <c r="AI113" i="25"/>
  <c r="AI217" i="25"/>
  <c r="AS217" i="25" s="1"/>
  <c r="X157" i="25"/>
  <c r="X158" i="25"/>
  <c r="AI316" i="25"/>
  <c r="AS316" i="25" s="1"/>
  <c r="AI34" i="25"/>
  <c r="AI120" i="25"/>
  <c r="X248" i="25"/>
  <c r="AI167" i="25"/>
  <c r="AI283" i="25"/>
  <c r="AS283" i="25" s="1"/>
  <c r="AI18" i="25"/>
  <c r="X142" i="25"/>
  <c r="AI209" i="25"/>
  <c r="X297" i="25"/>
  <c r="X6" i="25"/>
  <c r="X226" i="25"/>
  <c r="X232" i="25"/>
  <c r="AI306" i="25"/>
  <c r="AS306" i="25" s="1"/>
  <c r="X141" i="25"/>
  <c r="X222" i="25"/>
  <c r="AI256" i="25"/>
  <c r="AS256" i="25" s="1"/>
  <c r="AI308" i="25"/>
  <c r="AS308" i="25" s="1"/>
  <c r="AI284" i="25"/>
  <c r="AS284" i="25" s="1"/>
  <c r="AI203" i="25"/>
  <c r="AI272" i="25"/>
  <c r="AS272" i="25" s="1"/>
  <c r="AI57" i="25"/>
  <c r="AI224" i="25"/>
  <c r="AS224" i="25" s="1"/>
  <c r="AI184" i="25"/>
  <c r="AI178" i="25"/>
  <c r="X207" i="25"/>
  <c r="AI7" i="25"/>
  <c r="X250" i="25"/>
  <c r="X237" i="25"/>
  <c r="AI189" i="25"/>
  <c r="AI32" i="25"/>
  <c r="X298" i="25"/>
  <c r="AI55" i="25"/>
  <c r="X130" i="25"/>
  <c r="X268" i="25"/>
  <c r="X185" i="25"/>
  <c r="AI182" i="25"/>
  <c r="X289" i="25"/>
  <c r="AI265" i="25"/>
  <c r="AS265" i="25" s="1"/>
  <c r="AI220" i="25"/>
  <c r="AS220" i="25" s="1"/>
  <c r="AI60" i="25"/>
  <c r="X117" i="25"/>
  <c r="X181" i="25"/>
  <c r="AI137" i="25"/>
  <c r="AI153" i="25"/>
  <c r="AI169" i="25"/>
  <c r="AI185" i="25"/>
  <c r="AI166" i="25"/>
  <c r="X229" i="25"/>
  <c r="X296" i="25"/>
  <c r="AI261" i="25"/>
  <c r="AS261" i="25" s="1"/>
  <c r="AI194" i="25"/>
  <c r="AI16" i="25"/>
  <c r="AI247" i="25"/>
  <c r="AS247" i="25" s="1"/>
  <c r="AI289" i="25"/>
  <c r="AS289" i="25" s="1"/>
  <c r="AI282" i="25"/>
  <c r="AS282" i="25" s="1"/>
  <c r="X251" i="25"/>
  <c r="AI170" i="25"/>
  <c r="X223" i="25"/>
  <c r="AI39" i="25"/>
  <c r="X264" i="25"/>
  <c r="AI240" i="25"/>
  <c r="AS240" i="25" s="1"/>
  <c r="X190" i="25"/>
  <c r="AI33" i="25"/>
  <c r="AI19" i="25"/>
  <c r="AI157" i="25"/>
  <c r="X291" i="25"/>
  <c r="X261" i="25"/>
  <c r="AI183" i="25"/>
  <c r="X242" i="25"/>
  <c r="AI10" i="25"/>
  <c r="AI269" i="25"/>
  <c r="AS269" i="25" s="1"/>
  <c r="X287" i="25"/>
  <c r="X249" i="25"/>
  <c r="AI84" i="25"/>
  <c r="X282" i="25"/>
  <c r="AI150" i="25"/>
  <c r="X220" i="25"/>
  <c r="X194" i="25"/>
  <c r="AI75" i="25"/>
  <c r="X145" i="25"/>
  <c r="AI134" i="25"/>
  <c r="X198" i="25"/>
  <c r="AI90" i="25"/>
  <c r="X219" i="25"/>
  <c r="X56" i="25"/>
  <c r="X13" i="25"/>
  <c r="X65" i="25"/>
  <c r="X93" i="25"/>
  <c r="X97" i="25"/>
  <c r="X101" i="25"/>
  <c r="X105" i="25"/>
  <c r="AI164" i="25"/>
  <c r="X154" i="25"/>
  <c r="X256" i="25"/>
  <c r="X14" i="25"/>
  <c r="X89" i="25"/>
  <c r="X40" i="25"/>
  <c r="X71" i="25"/>
  <c r="AI140" i="25"/>
  <c r="X170" i="25"/>
  <c r="X309" i="25"/>
  <c r="X279" i="25"/>
  <c r="X38" i="25"/>
  <c r="X173" i="25"/>
  <c r="X201" i="25"/>
  <c r="AI45" i="25"/>
  <c r="X88" i="25"/>
  <c r="X120" i="25"/>
  <c r="X140" i="25"/>
  <c r="AI151" i="25"/>
  <c r="X294" i="25"/>
  <c r="AI58" i="25"/>
  <c r="AI43" i="25"/>
  <c r="AI111" i="25"/>
  <c r="AI173" i="25"/>
  <c r="AI65" i="25"/>
  <c r="X55" i="25"/>
  <c r="X238" i="25"/>
  <c r="AI257" i="25"/>
  <c r="AS257" i="25" s="1"/>
  <c r="AI23" i="25"/>
  <c r="X133" i="25"/>
  <c r="X197" i="25"/>
  <c r="X148" i="25"/>
  <c r="X135" i="25"/>
  <c r="AI315" i="25"/>
  <c r="AS315" i="25" s="1"/>
  <c r="X34" i="25"/>
  <c r="AI74" i="25"/>
  <c r="AI251" i="25"/>
  <c r="AS251" i="25" s="1"/>
  <c r="AI50" i="25"/>
  <c r="AI254" i="25"/>
  <c r="AS254" i="25" s="1"/>
  <c r="X293" i="25"/>
  <c r="X53" i="25"/>
  <c r="X90" i="25"/>
  <c r="X59" i="25"/>
  <c r="X127" i="25"/>
  <c r="X259" i="25"/>
  <c r="X69" i="25"/>
  <c r="X28" i="25"/>
  <c r="X39" i="25"/>
  <c r="X206" i="25"/>
  <c r="X305" i="25"/>
  <c r="X48" i="25"/>
  <c r="AI80" i="25"/>
  <c r="AI98" i="25"/>
  <c r="AI89" i="25"/>
  <c r="X9" i="25"/>
  <c r="X139" i="25"/>
  <c r="X10" i="25"/>
  <c r="AI25" i="25"/>
  <c r="X218" i="25"/>
  <c r="AI73" i="25"/>
  <c r="X199" i="25"/>
  <c r="X95" i="25"/>
  <c r="X246" i="25"/>
  <c r="X285" i="25"/>
  <c r="X26" i="25"/>
  <c r="X51" i="25"/>
  <c r="X102" i="25"/>
  <c r="X276" i="25"/>
  <c r="AI46" i="25"/>
  <c r="X116" i="25"/>
  <c r="X119" i="25"/>
  <c r="X91" i="25"/>
  <c r="X143" i="25"/>
  <c r="X175" i="25"/>
  <c r="X265" i="25"/>
  <c r="X312" i="25"/>
  <c r="X137" i="25"/>
  <c r="X150" i="25"/>
  <c r="X270" i="25"/>
  <c r="AI205" i="25"/>
  <c r="X77" i="25"/>
  <c r="X128" i="25"/>
  <c r="X286" i="25"/>
  <c r="X188" i="25"/>
  <c r="AI171" i="25"/>
  <c r="X64" i="25"/>
  <c r="AI99" i="25"/>
  <c r="X159" i="25"/>
  <c r="X191" i="25"/>
  <c r="AI276" i="25"/>
  <c r="AS276" i="25" s="1"/>
  <c r="AI292" i="25"/>
  <c r="AS292" i="25" s="1"/>
  <c r="X227" i="25"/>
  <c r="X134" i="25"/>
  <c r="AI198" i="25"/>
  <c r="X280" i="25"/>
  <c r="X311" i="25"/>
  <c r="AI314" i="25"/>
  <c r="AS314" i="25" s="1"/>
  <c r="AI127" i="25"/>
  <c r="AI95" i="25"/>
  <c r="X260" i="25"/>
  <c r="X292" i="25"/>
  <c r="AI66" i="25"/>
  <c r="AJ197" i="24"/>
  <c r="AJ127" i="24"/>
  <c r="Y200" i="24"/>
  <c r="Y123" i="24"/>
  <c r="Y310" i="24"/>
  <c r="AJ288" i="24"/>
  <c r="AT288" i="24" s="1"/>
  <c r="Y124" i="24"/>
  <c r="AJ121" i="24"/>
  <c r="Y126" i="24"/>
  <c r="Y160" i="24"/>
  <c r="Y140" i="24"/>
  <c r="Y197" i="24"/>
  <c r="Y173" i="24"/>
  <c r="AJ272" i="24"/>
  <c r="AT272" i="24" s="1"/>
  <c r="AJ256" i="24"/>
  <c r="AT256" i="24" s="1"/>
  <c r="AJ310" i="24"/>
  <c r="AT310" i="24" s="1"/>
  <c r="AJ229" i="24"/>
  <c r="AT229" i="24" s="1"/>
  <c r="AJ224" i="24"/>
  <c r="AT224" i="24" s="1"/>
  <c r="AJ111" i="24"/>
  <c r="AJ268" i="24"/>
  <c r="AT268" i="24" s="1"/>
  <c r="Y112" i="24"/>
  <c r="Y111" i="24"/>
  <c r="Y201" i="24"/>
  <c r="AG140" i="24"/>
  <c r="AF140" i="24"/>
  <c r="AF155" i="24"/>
  <c r="Y180" i="24"/>
  <c r="AF187" i="24"/>
  <c r="AG126" i="24"/>
  <c r="AF126" i="24"/>
  <c r="AG160" i="24"/>
  <c r="AF160" i="24"/>
  <c r="AG178" i="24"/>
  <c r="AF178" i="24"/>
  <c r="AG175" i="24"/>
  <c r="AF175" i="24"/>
  <c r="AG197" i="24"/>
  <c r="AF197" i="24"/>
  <c r="AG111" i="24"/>
  <c r="AF111" i="24"/>
  <c r="AG164" i="24"/>
  <c r="AF164" i="24"/>
  <c r="AF153" i="24"/>
  <c r="AJ297" i="24"/>
  <c r="AT297" i="24" s="1"/>
  <c r="AG118" i="24"/>
  <c r="AF118" i="24"/>
  <c r="AG173" i="24"/>
  <c r="AF173" i="24"/>
  <c r="AG180" i="24"/>
  <c r="AF180" i="24"/>
  <c r="AG129" i="24"/>
  <c r="AF129" i="24"/>
  <c r="AF169" i="24"/>
  <c r="AF115" i="24"/>
  <c r="AG138" i="24"/>
  <c r="AF138" i="24"/>
  <c r="AF203" i="24"/>
  <c r="AG124" i="24"/>
  <c r="AF124" i="24"/>
  <c r="AF136" i="24"/>
  <c r="AF116" i="24"/>
  <c r="AJ271" i="24"/>
  <c r="AT271" i="24" s="1"/>
  <c r="AJ292" i="24"/>
  <c r="AT292" i="24" s="1"/>
  <c r="Y243" i="24"/>
  <c r="Y286" i="24"/>
  <c r="AJ221" i="24"/>
  <c r="AT221" i="24" s="1"/>
  <c r="AF157" i="24"/>
  <c r="AF195" i="24"/>
  <c r="AF181" i="24"/>
  <c r="AG200" i="24"/>
  <c r="AF200" i="24"/>
  <c r="AG202" i="24"/>
  <c r="AF202" i="24"/>
  <c r="AG135" i="24"/>
  <c r="AF135" i="24"/>
  <c r="Y172" i="24"/>
  <c r="Y175" i="24"/>
  <c r="AF208" i="24"/>
  <c r="AF207" i="24"/>
  <c r="AG121" i="24"/>
  <c r="AF121" i="24"/>
  <c r="AG127" i="24"/>
  <c r="AF127" i="24"/>
  <c r="AJ300" i="24"/>
  <c r="AT300" i="24" s="1"/>
  <c r="AJ307" i="24"/>
  <c r="AT307" i="24" s="1"/>
  <c r="AF29" i="24"/>
  <c r="AJ227" i="24"/>
  <c r="AT227" i="24" s="1"/>
  <c r="AJ250" i="24"/>
  <c r="AT250" i="24" s="1"/>
  <c r="AJ251" i="24"/>
  <c r="AT251" i="24" s="1"/>
  <c r="AJ285" i="24"/>
  <c r="AT285" i="24" s="1"/>
  <c r="AJ301" i="24"/>
  <c r="AT301" i="24" s="1"/>
  <c r="AJ222" i="24"/>
  <c r="AT222" i="24" s="1"/>
  <c r="AJ273" i="24"/>
  <c r="AT273" i="24" s="1"/>
  <c r="AJ245" i="24"/>
  <c r="AT245" i="24" s="1"/>
  <c r="AF79" i="24"/>
  <c r="AF72" i="24"/>
  <c r="AF63" i="24"/>
  <c r="AF31" i="24"/>
  <c r="AF87" i="24"/>
  <c r="AJ294" i="24"/>
  <c r="AT294" i="24" s="1"/>
  <c r="AJ304" i="24"/>
  <c r="AT304" i="24" s="1"/>
  <c r="AJ303" i="24"/>
  <c r="AT303" i="24" s="1"/>
  <c r="AJ230" i="24"/>
  <c r="AT230" i="24" s="1"/>
  <c r="AJ315" i="24"/>
  <c r="AT315" i="24" s="1"/>
  <c r="Y247" i="24"/>
  <c r="Y300" i="24"/>
  <c r="Y274" i="24"/>
  <c r="AJ254" i="24"/>
  <c r="AT254" i="24" s="1"/>
  <c r="Y294" i="24"/>
  <c r="AJ236" i="24"/>
  <c r="AT236" i="24" s="1"/>
  <c r="AJ223" i="24"/>
  <c r="AT223" i="24" s="1"/>
  <c r="AJ240" i="24"/>
  <c r="AT240" i="24" s="1"/>
  <c r="AJ302" i="24"/>
  <c r="AT302" i="24" s="1"/>
  <c r="AJ233" i="24"/>
  <c r="AT233" i="24" s="1"/>
  <c r="AJ258" i="24"/>
  <c r="AT258" i="24" s="1"/>
  <c r="AJ309" i="24"/>
  <c r="AT309" i="24" s="1"/>
  <c r="AJ247" i="24"/>
  <c r="AT247" i="24" s="1"/>
  <c r="AJ314" i="24"/>
  <c r="AT314" i="24" s="1"/>
  <c r="AJ218" i="24"/>
  <c r="AT218" i="24" s="1"/>
  <c r="AJ216" i="24"/>
  <c r="AT216" i="24" s="1"/>
  <c r="AG230" i="24"/>
  <c r="AF230" i="24"/>
  <c r="AF234" i="24"/>
  <c r="AG234" i="24"/>
  <c r="AG314" i="24"/>
  <c r="AF314" i="24"/>
  <c r="AG219" i="24"/>
  <c r="AF219" i="24"/>
  <c r="AG241" i="24"/>
  <c r="AF241" i="24"/>
  <c r="AF248" i="24"/>
  <c r="AG293" i="24"/>
  <c r="AF293" i="24"/>
  <c r="AG223" i="24"/>
  <c r="AF223" i="24"/>
  <c r="Y302" i="24"/>
  <c r="AF272" i="24"/>
  <c r="AG272" i="24"/>
  <c r="AG300" i="24"/>
  <c r="AF300" i="24"/>
  <c r="AF235" i="24"/>
  <c r="AG235" i="24"/>
  <c r="AJ316" i="24"/>
  <c r="AT316" i="24" s="1"/>
  <c r="Y256" i="24"/>
  <c r="AG251" i="24"/>
  <c r="AF251" i="24"/>
  <c r="Y223" i="24"/>
  <c r="Y312" i="24"/>
  <c r="Y227" i="24"/>
  <c r="AG307" i="24"/>
  <c r="AF307" i="24"/>
  <c r="AG227" i="24"/>
  <c r="AF227" i="24"/>
  <c r="AF233" i="24"/>
  <c r="AG233" i="24"/>
  <c r="AJ275" i="24"/>
  <c r="AT275" i="24" s="1"/>
  <c r="AG258" i="24"/>
  <c r="AF258" i="24"/>
  <c r="AF280" i="24"/>
  <c r="AG256" i="24"/>
  <c r="AF256" i="24"/>
  <c r="AF277" i="24"/>
  <c r="AG271" i="24"/>
  <c r="AF271" i="24"/>
  <c r="AF315" i="24"/>
  <c r="AG315" i="24"/>
  <c r="AJ228" i="24"/>
  <c r="AT228" i="24" s="1"/>
  <c r="Y264" i="24"/>
  <c r="AG250" i="24"/>
  <c r="AF250" i="24"/>
  <c r="AF298" i="24"/>
  <c r="AG292" i="24"/>
  <c r="AF292" i="24"/>
  <c r="AF288" i="24"/>
  <c r="AG288" i="24"/>
  <c r="AF221" i="24"/>
  <c r="AG221" i="24"/>
  <c r="AJ286" i="24"/>
  <c r="AT286" i="24" s="1"/>
  <c r="AJ274" i="24"/>
  <c r="AT274" i="24" s="1"/>
  <c r="AF306" i="24"/>
  <c r="AG316" i="24"/>
  <c r="AF316" i="24"/>
  <c r="AJ266" i="24"/>
  <c r="AT266" i="24" s="1"/>
  <c r="AJ220" i="24"/>
  <c r="AT220" i="24" s="1"/>
  <c r="AG236" i="24"/>
  <c r="AF236" i="24"/>
  <c r="Y304" i="24"/>
  <c r="AJ243" i="24"/>
  <c r="AT243" i="24" s="1"/>
  <c r="AF282" i="24"/>
  <c r="AG240" i="24"/>
  <c r="AF240" i="24"/>
  <c r="AG294" i="24"/>
  <c r="AF294" i="24"/>
  <c r="AF239" i="24"/>
  <c r="AG239" i="24"/>
  <c r="AF304" i="24"/>
  <c r="AG304" i="24"/>
  <c r="AF218" i="24"/>
  <c r="AG218" i="24"/>
  <c r="AF268" i="24"/>
  <c r="AG268" i="24"/>
  <c r="AG287" i="24"/>
  <c r="AF287" i="24"/>
  <c r="AG285" i="24"/>
  <c r="AF285" i="24"/>
  <c r="AF261" i="24"/>
  <c r="AG264" i="24"/>
  <c r="AF264" i="24"/>
  <c r="AF259" i="24"/>
  <c r="AG259" i="24"/>
  <c r="AG245" i="24"/>
  <c r="AF245" i="24"/>
  <c r="Y218" i="24"/>
  <c r="AF283" i="24"/>
  <c r="Y316" i="24"/>
  <c r="AF276" i="24"/>
  <c r="AG279" i="24"/>
  <c r="AF279" i="24"/>
  <c r="AG301" i="24"/>
  <c r="AF301" i="24"/>
  <c r="AG297" i="24"/>
  <c r="AF297" i="24"/>
  <c r="AG310" i="24"/>
  <c r="AF310" i="24"/>
  <c r="AJ239" i="24"/>
  <c r="AT239" i="24" s="1"/>
  <c r="AF229" i="24"/>
  <c r="AG229" i="24"/>
  <c r="AG275" i="24"/>
  <c r="AF275" i="24"/>
  <c r="AG303" i="24"/>
  <c r="AF303" i="24"/>
  <c r="Y222" i="24"/>
  <c r="Y244" i="24"/>
  <c r="AG309" i="24"/>
  <c r="AF309" i="24"/>
  <c r="AF247" i="24"/>
  <c r="AG247" i="24"/>
  <c r="AJ234" i="24"/>
  <c r="AT234" i="24" s="1"/>
  <c r="AF228" i="24"/>
  <c r="AG228" i="24"/>
  <c r="Y235" i="24"/>
  <c r="AJ235" i="24"/>
  <c r="AT235" i="24" s="1"/>
  <c r="AG286" i="24"/>
  <c r="AF286" i="24"/>
  <c r="AJ219" i="24"/>
  <c r="AT219" i="24" s="1"/>
  <c r="AF254" i="24"/>
  <c r="AG254" i="24"/>
  <c r="AF274" i="24"/>
  <c r="AG274" i="24"/>
  <c r="AF262" i="24"/>
  <c r="AG266" i="24"/>
  <c r="AF266" i="24"/>
  <c r="AJ287" i="24"/>
  <c r="AT287" i="24" s="1"/>
  <c r="AG220" i="24"/>
  <c r="AF220" i="24"/>
  <c r="AG216" i="24"/>
  <c r="AF216" i="24"/>
  <c r="Y314" i="24"/>
  <c r="Y309" i="24"/>
  <c r="Y254" i="24"/>
  <c r="AF224" i="24"/>
  <c r="AG224" i="24"/>
  <c r="AJ279" i="24"/>
  <c r="AT279" i="24" s="1"/>
  <c r="AJ241" i="24"/>
  <c r="AT241" i="24" s="1"/>
  <c r="AJ293" i="24"/>
  <c r="AT293" i="24" s="1"/>
  <c r="AG243" i="24"/>
  <c r="AF243" i="24"/>
  <c r="AG222" i="24"/>
  <c r="AF222" i="24"/>
  <c r="AG273" i="24"/>
  <c r="AF273" i="24"/>
  <c r="AJ264" i="24"/>
  <c r="AT264" i="24" s="1"/>
  <c r="AJ259" i="24"/>
  <c r="AT259" i="24" s="1"/>
  <c r="Y245" i="24"/>
  <c r="Y279" i="24"/>
  <c r="AG302" i="24"/>
  <c r="AF302" i="24"/>
  <c r="AF270" i="24"/>
  <c r="AF41" i="24"/>
  <c r="AF59" i="24"/>
  <c r="AF89" i="24"/>
  <c r="AF54" i="24"/>
  <c r="AF68" i="24"/>
  <c r="AF51" i="24"/>
  <c r="AF46" i="24"/>
  <c r="AF92" i="24"/>
  <c r="AF19" i="24"/>
  <c r="AF82" i="24"/>
  <c r="AF18" i="24"/>
  <c r="AF28" i="24"/>
  <c r="AF40" i="24"/>
  <c r="Y5" i="24"/>
  <c r="Y33" i="24"/>
  <c r="Y96" i="24"/>
  <c r="Y21" i="24"/>
  <c r="AS134" i="25" l="1"/>
  <c r="AX134" i="25" s="1"/>
  <c r="AS202" i="25"/>
  <c r="AW202" i="25" s="1"/>
  <c r="AS177" i="25"/>
  <c r="AX177" i="25" s="1"/>
  <c r="AS187" i="25"/>
  <c r="AX187" i="25" s="1"/>
  <c r="AS191" i="25"/>
  <c r="AW191" i="25" s="1"/>
  <c r="AS183" i="25"/>
  <c r="AX183" i="25" s="1"/>
  <c r="AS182" i="25"/>
  <c r="AX182" i="25" s="1"/>
  <c r="AS209" i="25"/>
  <c r="AX209" i="25" s="1"/>
  <c r="AS186" i="25"/>
  <c r="AX186" i="25" s="1"/>
  <c r="AS180" i="25"/>
  <c r="AX180" i="25" s="1"/>
  <c r="AS200" i="25"/>
  <c r="AX200" i="25" s="1"/>
  <c r="AS179" i="25"/>
  <c r="AW179" i="25" s="1"/>
  <c r="AS146" i="25"/>
  <c r="AW146" i="25" s="1"/>
  <c r="AS181" i="25"/>
  <c r="AW181" i="25" s="1"/>
  <c r="AS119" i="25"/>
  <c r="AX119" i="25" s="1"/>
  <c r="AS193" i="25"/>
  <c r="AX193" i="25" s="1"/>
  <c r="AS144" i="25"/>
  <c r="AX144" i="25" s="1"/>
  <c r="AS117" i="25"/>
  <c r="AX117" i="25" s="1"/>
  <c r="AS205" i="25"/>
  <c r="AW205" i="25" s="1"/>
  <c r="AS173" i="25"/>
  <c r="AX173" i="25" s="1"/>
  <c r="AS140" i="25"/>
  <c r="AX140" i="25" s="1"/>
  <c r="AS194" i="25"/>
  <c r="AX194" i="25" s="1"/>
  <c r="AS166" i="25"/>
  <c r="AW166" i="25" s="1"/>
  <c r="AS137" i="25"/>
  <c r="AX137" i="25" s="1"/>
  <c r="AS184" i="25"/>
  <c r="AW184" i="25" s="1"/>
  <c r="AS203" i="25"/>
  <c r="AX203" i="25" s="1"/>
  <c r="AS148" i="25"/>
  <c r="AW148" i="25" s="1"/>
  <c r="AS165" i="25"/>
  <c r="AX165" i="25" s="1"/>
  <c r="AS124" i="25"/>
  <c r="AX124" i="25" s="1"/>
  <c r="AS158" i="25"/>
  <c r="AX158" i="25" s="1"/>
  <c r="AS132" i="25"/>
  <c r="AX132" i="25" s="1"/>
  <c r="AS207" i="25"/>
  <c r="AW207" i="25" s="1"/>
  <c r="AS138" i="25"/>
  <c r="AX138" i="25" s="1"/>
  <c r="AS131" i="25"/>
  <c r="AW131" i="25" s="1"/>
  <c r="AS143" i="25"/>
  <c r="AX143" i="25" s="1"/>
  <c r="AS161" i="25"/>
  <c r="AX161" i="25" s="1"/>
  <c r="AS152" i="25"/>
  <c r="AX152" i="25" s="1"/>
  <c r="AS149" i="25"/>
  <c r="AX149" i="25" s="1"/>
  <c r="AS141" i="25"/>
  <c r="AX141" i="25" s="1"/>
  <c r="AS123" i="25"/>
  <c r="AW123" i="25" s="1"/>
  <c r="AS118" i="25"/>
  <c r="AX118" i="25" s="1"/>
  <c r="AS125" i="25"/>
  <c r="AX125" i="25" s="1"/>
  <c r="AS129" i="25"/>
  <c r="AW129" i="25" s="1"/>
  <c r="AS128" i="25"/>
  <c r="AX128" i="25" s="1"/>
  <c r="AS127" i="25"/>
  <c r="AX127" i="25" s="1"/>
  <c r="AS198" i="25"/>
  <c r="AW198" i="25" s="1"/>
  <c r="AS157" i="25"/>
  <c r="AX157" i="25" s="1"/>
  <c r="AS170" i="25"/>
  <c r="AX170" i="25" s="1"/>
  <c r="AS169" i="25"/>
  <c r="AW169" i="25" s="1"/>
  <c r="AS189" i="25"/>
  <c r="AX189" i="25" s="1"/>
  <c r="AS126" i="25"/>
  <c r="AX126" i="25" s="1"/>
  <c r="AS156" i="25"/>
  <c r="AW156" i="25" s="1"/>
  <c r="AS133" i="25"/>
  <c r="AX133" i="25" s="1"/>
  <c r="AS176" i="25"/>
  <c r="AX176" i="25" s="1"/>
  <c r="AS190" i="25"/>
  <c r="AW190" i="25" s="1"/>
  <c r="AS195" i="25"/>
  <c r="AX195" i="25" s="1"/>
  <c r="AS160" i="25"/>
  <c r="AX160" i="25" s="1"/>
  <c r="AS197" i="25"/>
  <c r="AX197" i="25" s="1"/>
  <c r="AS171" i="25"/>
  <c r="AX171" i="25" s="1"/>
  <c r="AS164" i="25"/>
  <c r="AW164" i="25" s="1"/>
  <c r="AS150" i="25"/>
  <c r="AX150" i="25" s="1"/>
  <c r="AS153" i="25"/>
  <c r="AW153" i="25" s="1"/>
  <c r="AS178" i="25"/>
  <c r="AW178" i="25" s="1"/>
  <c r="AS167" i="25"/>
  <c r="AX167" i="25" s="1"/>
  <c r="AS113" i="25"/>
  <c r="AX113" i="25" s="1"/>
  <c r="AS154" i="25"/>
  <c r="AX154" i="25" s="1"/>
  <c r="AS142" i="25"/>
  <c r="AX142" i="25" s="1"/>
  <c r="AS168" i="25"/>
  <c r="AW168" i="25" s="1"/>
  <c r="AS201" i="25"/>
  <c r="AW201" i="25" s="1"/>
  <c r="AS114" i="25"/>
  <c r="AX114" i="25" s="1"/>
  <c r="AS175" i="25"/>
  <c r="AX175" i="25" s="1"/>
  <c r="AS206" i="25"/>
  <c r="AW206" i="25" s="1"/>
  <c r="AS145" i="25"/>
  <c r="AX145" i="25" s="1"/>
  <c r="AS192" i="25"/>
  <c r="AX192" i="25" s="1"/>
  <c r="AS159" i="25"/>
  <c r="AX159" i="25" s="1"/>
  <c r="AS204" i="25"/>
  <c r="AX204" i="25" s="1"/>
  <c r="AS111" i="25"/>
  <c r="AX111" i="25" s="1"/>
  <c r="AS151" i="25"/>
  <c r="AX151" i="25" s="1"/>
  <c r="AS185" i="25"/>
  <c r="AW185" i="25" s="1"/>
  <c r="AS120" i="25"/>
  <c r="AW120" i="25" s="1"/>
  <c r="AS188" i="25"/>
  <c r="AX188" i="25" s="1"/>
  <c r="AS121" i="25"/>
  <c r="AW121" i="25" s="1"/>
  <c r="AS162" i="25"/>
  <c r="AX162" i="25" s="1"/>
  <c r="AS115" i="25"/>
  <c r="AX115" i="25" s="1"/>
  <c r="AS135" i="25"/>
  <c r="AW135" i="25" s="1"/>
  <c r="AS172" i="25"/>
  <c r="AX172" i="25" s="1"/>
  <c r="AS196" i="25"/>
  <c r="AX196" i="25" s="1"/>
  <c r="AS199" i="25"/>
  <c r="AX199" i="25" s="1"/>
  <c r="AS147" i="25"/>
  <c r="AX147" i="25" s="1"/>
  <c r="AS174" i="25"/>
  <c r="AX174" i="25" s="1"/>
  <c r="AS163" i="25"/>
  <c r="AW163" i="25" s="1"/>
  <c r="AS130" i="25"/>
  <c r="AX130" i="25" s="1"/>
  <c r="AS136" i="25"/>
  <c r="AX136" i="25" s="1"/>
  <c r="AS208" i="25"/>
  <c r="AW208" i="25" s="1"/>
  <c r="AS155" i="25"/>
  <c r="AX155" i="25" s="1"/>
  <c r="AS210" i="25"/>
  <c r="AX210" i="25" s="1"/>
  <c r="AS116" i="25"/>
  <c r="AX116" i="25" s="1"/>
  <c r="AS112" i="25"/>
  <c r="AW112" i="25" s="1"/>
  <c r="AS139" i="25"/>
  <c r="AX139" i="25" s="1"/>
  <c r="AS122" i="25"/>
  <c r="AX122" i="25" s="1"/>
  <c r="AS110" i="25"/>
  <c r="AX110" i="25" s="1"/>
  <c r="AX202" i="25"/>
  <c r="AT141" i="24"/>
  <c r="AT145" i="24"/>
  <c r="AT205" i="24"/>
  <c r="AT194" i="24"/>
  <c r="AT125" i="24"/>
  <c r="AT131" i="24"/>
  <c r="AT150" i="24"/>
  <c r="AT188" i="24"/>
  <c r="AT170" i="24"/>
  <c r="AT162" i="24"/>
  <c r="AT113" i="24"/>
  <c r="AT143" i="24"/>
  <c r="AT127" i="24"/>
  <c r="AT110" i="24"/>
  <c r="AT184" i="24"/>
  <c r="AT154" i="24"/>
  <c r="AT119" i="24"/>
  <c r="AT167" i="24"/>
  <c r="AT152" i="24"/>
  <c r="AT128" i="24"/>
  <c r="AT186" i="24"/>
  <c r="AT179" i="24"/>
  <c r="AT163" i="24"/>
  <c r="AT161" i="24"/>
  <c r="AT209" i="24"/>
  <c r="AT133" i="24"/>
  <c r="AT139" i="24"/>
  <c r="AT168" i="24"/>
  <c r="AT176" i="24"/>
  <c r="AT198" i="24"/>
  <c r="AT130" i="24"/>
  <c r="AT191" i="24"/>
  <c r="AT193" i="24"/>
  <c r="AT190" i="24"/>
  <c r="AT197" i="24"/>
  <c r="AT137" i="24"/>
  <c r="AT159" i="24"/>
  <c r="AT142" i="24"/>
  <c r="AT183" i="24"/>
  <c r="AT177" i="24"/>
  <c r="AT165" i="24"/>
  <c r="AT192" i="24"/>
  <c r="AT196" i="24"/>
  <c r="AT189" i="24"/>
  <c r="AT144" i="24"/>
  <c r="AT151" i="24"/>
  <c r="AT146" i="24"/>
  <c r="AT166" i="24"/>
  <c r="AT185" i="24"/>
  <c r="AT111" i="24"/>
  <c r="AT199" i="24"/>
  <c r="AT156" i="24"/>
  <c r="AT204" i="24"/>
  <c r="AT114" i="24"/>
  <c r="AT120" i="24"/>
  <c r="AT158" i="24"/>
  <c r="AT121" i="24"/>
  <c r="AT182" i="24"/>
  <c r="AT149" i="24"/>
  <c r="AT134" i="24"/>
  <c r="AT203" i="24"/>
  <c r="AT206" i="24"/>
  <c r="AT174" i="24"/>
  <c r="AT117" i="24"/>
  <c r="AT147" i="24"/>
  <c r="AT171" i="24"/>
  <c r="AT132" i="24"/>
  <c r="AV23" i="24"/>
  <c r="AV73" i="24"/>
  <c r="AV104" i="24"/>
  <c r="AV105" i="24"/>
  <c r="AV100" i="24"/>
  <c r="AV53" i="24"/>
  <c r="AV36" i="24"/>
  <c r="AV5" i="24"/>
  <c r="BV5" i="24"/>
  <c r="AV27" i="24"/>
  <c r="AV87" i="24"/>
  <c r="AV95" i="24"/>
  <c r="AV69" i="24"/>
  <c r="AV70" i="24"/>
  <c r="AV42" i="24"/>
  <c r="AV60" i="24"/>
  <c r="AV50" i="24"/>
  <c r="AV78" i="24"/>
  <c r="AV32" i="24"/>
  <c r="AV14" i="24"/>
  <c r="AV83" i="24"/>
  <c r="AV10" i="24"/>
  <c r="AV25" i="24"/>
  <c r="AJ55" i="24"/>
  <c r="AG289" i="24"/>
  <c r="AG152" i="24"/>
  <c r="AG70" i="24"/>
  <c r="AJ277" i="24"/>
  <c r="AT277" i="24" s="1"/>
  <c r="AG277" i="24"/>
  <c r="AN277" i="24" s="1"/>
  <c r="CD277" i="24" s="1"/>
  <c r="AF253" i="24"/>
  <c r="AN253" i="24" s="1"/>
  <c r="AF305" i="24"/>
  <c r="AK305" i="24" s="1"/>
  <c r="AG190" i="24"/>
  <c r="AN190" i="24" s="1"/>
  <c r="AJ207" i="24"/>
  <c r="AG280" i="24"/>
  <c r="AN280" i="24" s="1"/>
  <c r="AJ260" i="24"/>
  <c r="AT260" i="24" s="1"/>
  <c r="AJ280" i="24"/>
  <c r="AT280" i="24" s="1"/>
  <c r="AG260" i="24"/>
  <c r="AJ195" i="24"/>
  <c r="AJ244" i="24"/>
  <c r="AT244" i="24" s="1"/>
  <c r="AG283" i="24"/>
  <c r="AN283" i="24" s="1"/>
  <c r="CD283" i="24" s="1"/>
  <c r="AJ248" i="24"/>
  <c r="AT248" i="24" s="1"/>
  <c r="AJ153" i="24"/>
  <c r="AG262" i="24"/>
  <c r="AG248" i="24"/>
  <c r="AN248" i="24" s="1"/>
  <c r="AG191" i="24"/>
  <c r="AJ289" i="24"/>
  <c r="AT289" i="24" s="1"/>
  <c r="AJ262" i="24"/>
  <c r="AT262" i="24" s="1"/>
  <c r="AG270" i="24"/>
  <c r="AN270" i="24" s="1"/>
  <c r="CD270" i="24" s="1"/>
  <c r="AF281" i="24"/>
  <c r="AN281" i="24" s="1"/>
  <c r="AG193" i="24"/>
  <c r="AG255" i="24"/>
  <c r="AK255" i="24" s="1"/>
  <c r="AF193" i="24"/>
  <c r="AJ79" i="24"/>
  <c r="AJ201" i="24"/>
  <c r="AJ172" i="24"/>
  <c r="AJ261" i="24"/>
  <c r="AT261" i="24" s="1"/>
  <c r="AJ187" i="24"/>
  <c r="AJ298" i="24"/>
  <c r="AT298" i="24" s="1"/>
  <c r="AG217" i="24"/>
  <c r="AK217" i="24" s="1"/>
  <c r="AJ96" i="24"/>
  <c r="AG244" i="24"/>
  <c r="AN244" i="24" s="1"/>
  <c r="CD244" i="24" s="1"/>
  <c r="AJ157" i="24"/>
  <c r="AJ283" i="24"/>
  <c r="AT283" i="24" s="1"/>
  <c r="AJ208" i="24"/>
  <c r="AJ210" i="24"/>
  <c r="AG312" i="24"/>
  <c r="AG132" i="24"/>
  <c r="AV101" i="24"/>
  <c r="AT101" i="24"/>
  <c r="BA101" i="24" s="1"/>
  <c r="AV91" i="24"/>
  <c r="AT91" i="24"/>
  <c r="BA91" i="24" s="1"/>
  <c r="AJ181" i="24"/>
  <c r="AJ92" i="24"/>
  <c r="AF289" i="24"/>
  <c r="AG171" i="24"/>
  <c r="AN171" i="24" s="1"/>
  <c r="AX171" i="24" s="1"/>
  <c r="AG311" i="24"/>
  <c r="AK311" i="24" s="1"/>
  <c r="AG226" i="24"/>
  <c r="AK226" i="24" s="1"/>
  <c r="AJ97" i="24"/>
  <c r="AJ312" i="24"/>
  <c r="AT312" i="24" s="1"/>
  <c r="AJ169" i="24"/>
  <c r="AG147" i="24"/>
  <c r="AJ257" i="24"/>
  <c r="AT257" i="24" s="1"/>
  <c r="AF147" i="24"/>
  <c r="AF132" i="24"/>
  <c r="AJ155" i="24"/>
  <c r="AG242" i="24"/>
  <c r="AG130" i="24"/>
  <c r="AK130" i="24" s="1"/>
  <c r="AJ270" i="24"/>
  <c r="AT270" i="24" s="1"/>
  <c r="AJ282" i="24"/>
  <c r="AT282" i="24" s="1"/>
  <c r="AG158" i="24"/>
  <c r="AN158" i="24" s="1"/>
  <c r="AG153" i="24"/>
  <c r="AN153" i="24" s="1"/>
  <c r="AG282" i="24"/>
  <c r="AN282" i="24" s="1"/>
  <c r="CD282" i="24" s="1"/>
  <c r="AG269" i="24"/>
  <c r="AG265" i="24"/>
  <c r="AK265" i="24" s="1"/>
  <c r="AG146" i="24"/>
  <c r="AK146" i="24" s="1"/>
  <c r="AF260" i="24"/>
  <c r="AG257" i="24"/>
  <c r="AN257" i="24" s="1"/>
  <c r="AG267" i="24"/>
  <c r="AN267" i="24" s="1"/>
  <c r="AG176" i="24"/>
  <c r="AK176" i="24" s="1"/>
  <c r="AG290" i="24"/>
  <c r="AN290" i="24" s="1"/>
  <c r="CD290" i="24" s="1"/>
  <c r="AG291" i="24"/>
  <c r="AK291" i="24" s="1"/>
  <c r="AG261" i="24"/>
  <c r="AN261" i="24" s="1"/>
  <c r="AG198" i="24"/>
  <c r="AK198" i="24" s="1"/>
  <c r="AG114" i="24"/>
  <c r="AF191" i="24"/>
  <c r="AG166" i="24"/>
  <c r="AG117" i="24"/>
  <c r="AK117" i="24" s="1"/>
  <c r="AF237" i="24"/>
  <c r="AK237" i="24" s="1"/>
  <c r="AG195" i="24"/>
  <c r="AF278" i="24"/>
  <c r="AK278" i="24" s="1"/>
  <c r="AG308" i="24"/>
  <c r="AK308" i="24" s="1"/>
  <c r="AF114" i="24"/>
  <c r="AG232" i="24"/>
  <c r="AK232" i="24" s="1"/>
  <c r="AG122" i="24"/>
  <c r="AG299" i="24"/>
  <c r="AN299" i="24" s="1"/>
  <c r="AG298" i="24"/>
  <c r="AN298" i="24" s="1"/>
  <c r="CD298" i="24" s="1"/>
  <c r="AG231" i="24"/>
  <c r="AK231" i="24" s="1"/>
  <c r="AG185" i="24"/>
  <c r="AN185" i="24" s="1"/>
  <c r="BV185" i="24" s="1"/>
  <c r="AV85" i="24"/>
  <c r="AT85" i="24"/>
  <c r="BA85" i="24" s="1"/>
  <c r="AV86" i="24"/>
  <c r="AT86" i="24"/>
  <c r="BA86" i="24" s="1"/>
  <c r="AV74" i="24"/>
  <c r="AT74" i="24"/>
  <c r="BA74" i="24" s="1"/>
  <c r="AJ89" i="24"/>
  <c r="AF249" i="24"/>
  <c r="AN249" i="24" s="1"/>
  <c r="CD249" i="24" s="1"/>
  <c r="AG120" i="24"/>
  <c r="AN120" i="24" s="1"/>
  <c r="AX120" i="24" s="1"/>
  <c r="AG133" i="24"/>
  <c r="AK133" i="24" s="1"/>
  <c r="AT83" i="24"/>
  <c r="BA83" i="24" s="1"/>
  <c r="AG151" i="24"/>
  <c r="AN151" i="24" s="1"/>
  <c r="BH151" i="24" s="1"/>
  <c r="AG143" i="24"/>
  <c r="AN143" i="24" s="1"/>
  <c r="AT73" i="24"/>
  <c r="BA73" i="24" s="1"/>
  <c r="AJ63" i="24"/>
  <c r="AJ82" i="24"/>
  <c r="AJ72" i="24"/>
  <c r="AJ148" i="24"/>
  <c r="AJ46" i="24"/>
  <c r="AG168" i="24"/>
  <c r="AG174" i="24"/>
  <c r="AG189" i="24"/>
  <c r="AG139" i="24"/>
  <c r="AN139" i="24" s="1"/>
  <c r="BT139" i="24" s="1"/>
  <c r="AJ68" i="24"/>
  <c r="AG225" i="24"/>
  <c r="AG150" i="24"/>
  <c r="AK150" i="24" s="1"/>
  <c r="AG156" i="24"/>
  <c r="AK156" i="24" s="1"/>
  <c r="AG204" i="24"/>
  <c r="AK204" i="24" s="1"/>
  <c r="AF238" i="24"/>
  <c r="AK238" i="24" s="1"/>
  <c r="AF225" i="24"/>
  <c r="AF166" i="24"/>
  <c r="AG263" i="24"/>
  <c r="AF263" i="24"/>
  <c r="AG144" i="24"/>
  <c r="AN144" i="24" s="1"/>
  <c r="AX144" i="24" s="1"/>
  <c r="AG252" i="24"/>
  <c r="AN252" i="24" s="1"/>
  <c r="CD252" i="24" s="1"/>
  <c r="AF189" i="24"/>
  <c r="AJ306" i="24"/>
  <c r="AT306" i="24" s="1"/>
  <c r="AF168" i="24"/>
  <c r="AJ276" i="24"/>
  <c r="AT276" i="24" s="1"/>
  <c r="AJ54" i="24"/>
  <c r="AV56" i="24"/>
  <c r="AT56" i="24"/>
  <c r="BA56" i="24" s="1"/>
  <c r="AG276" i="24"/>
  <c r="AN276" i="24" s="1"/>
  <c r="AJ59" i="24"/>
  <c r="AJ51" i="24"/>
  <c r="AJ136" i="24"/>
  <c r="AJ64" i="24"/>
  <c r="AJ225" i="24"/>
  <c r="AT225" i="24" s="1"/>
  <c r="AF313" i="24"/>
  <c r="AN313" i="24" s="1"/>
  <c r="CD313" i="24" s="1"/>
  <c r="AF246" i="24"/>
  <c r="AN246" i="24" s="1"/>
  <c r="CD246" i="24" s="1"/>
  <c r="AF295" i="24"/>
  <c r="AK295" i="24" s="1"/>
  <c r="AF174" i="24"/>
  <c r="AG296" i="24"/>
  <c r="AK296" i="24" s="1"/>
  <c r="AG25" i="24"/>
  <c r="AG89" i="24"/>
  <c r="AN89" i="24" s="1"/>
  <c r="CD89" i="24" s="1"/>
  <c r="AG284" i="24"/>
  <c r="AK284" i="24" s="1"/>
  <c r="AG209" i="24"/>
  <c r="AK209" i="24" s="1"/>
  <c r="AF242" i="24"/>
  <c r="AF269" i="24"/>
  <c r="AJ40" i="24"/>
  <c r="AG306" i="24"/>
  <c r="AG113" i="24"/>
  <c r="AN113" i="24" s="1"/>
  <c r="AJ41" i="24"/>
  <c r="AG179" i="24"/>
  <c r="AN179" i="24" s="1"/>
  <c r="BT179" i="24" s="1"/>
  <c r="AF78" i="24"/>
  <c r="AK78" i="24" s="1"/>
  <c r="AG157" i="24"/>
  <c r="AG101" i="24"/>
  <c r="AK101" i="24" s="1"/>
  <c r="AF128" i="24"/>
  <c r="AK128" i="24" s="1"/>
  <c r="AG112" i="24"/>
  <c r="AG181" i="24"/>
  <c r="AK181" i="24" s="1"/>
  <c r="AJ112" i="24"/>
  <c r="AG10" i="24"/>
  <c r="AK10" i="24" s="1"/>
  <c r="AG92" i="24"/>
  <c r="AN92" i="24" s="1"/>
  <c r="AG208" i="24"/>
  <c r="AK208" i="24" s="1"/>
  <c r="AG196" i="24"/>
  <c r="AF183" i="24"/>
  <c r="AN183" i="24" s="1"/>
  <c r="AX183" i="24" s="1"/>
  <c r="AF137" i="24"/>
  <c r="AN137" i="24" s="1"/>
  <c r="AF196" i="24"/>
  <c r="AG162" i="24"/>
  <c r="AG46" i="24"/>
  <c r="AN46" i="24" s="1"/>
  <c r="AF25" i="24"/>
  <c r="AG186" i="24"/>
  <c r="AK186" i="24" s="1"/>
  <c r="AF142" i="24"/>
  <c r="AN142" i="24" s="1"/>
  <c r="BT142" i="24" s="1"/>
  <c r="AG141" i="24"/>
  <c r="AK141" i="24" s="1"/>
  <c r="AT100" i="24"/>
  <c r="BA100" i="24" s="1"/>
  <c r="AG148" i="24"/>
  <c r="AN148" i="24" s="1"/>
  <c r="AG96" i="24"/>
  <c r="AN96" i="24" s="1"/>
  <c r="AG206" i="24"/>
  <c r="AK206" i="24" s="1"/>
  <c r="AG177" i="24"/>
  <c r="AN177" i="24" s="1"/>
  <c r="AG85" i="24"/>
  <c r="AN85" i="24" s="1"/>
  <c r="BV85" i="24" s="1"/>
  <c r="AG51" i="24"/>
  <c r="AG95" i="24"/>
  <c r="AK95" i="24" s="1"/>
  <c r="AG203" i="24"/>
  <c r="AK203" i="24" s="1"/>
  <c r="AT96" i="24"/>
  <c r="BA96" i="24" s="1"/>
  <c r="AG14" i="24"/>
  <c r="AK14" i="24" s="1"/>
  <c r="AG119" i="24"/>
  <c r="AK119" i="24" s="1"/>
  <c r="AJ122" i="24"/>
  <c r="AJ18" i="24"/>
  <c r="AG167" i="24"/>
  <c r="AG18" i="24"/>
  <c r="AN18" i="24" s="1"/>
  <c r="BI18" i="24" s="1"/>
  <c r="AG54" i="24"/>
  <c r="AN54" i="24" s="1"/>
  <c r="CD54" i="24" s="1"/>
  <c r="AF170" i="24"/>
  <c r="AK170" i="24" s="1"/>
  <c r="AT105" i="24"/>
  <c r="BA105" i="24" s="1"/>
  <c r="AG23" i="24"/>
  <c r="AG159" i="24"/>
  <c r="AG105" i="24"/>
  <c r="AK105" i="24" s="1"/>
  <c r="AG145" i="24"/>
  <c r="AN145" i="24" s="1"/>
  <c r="BT145" i="24" s="1"/>
  <c r="AG36" i="24"/>
  <c r="AN36" i="24" s="1"/>
  <c r="BV36" i="24" s="1"/>
  <c r="AF122" i="24"/>
  <c r="AF112" i="24"/>
  <c r="AG184" i="24"/>
  <c r="AK184" i="24" s="1"/>
  <c r="AG187" i="24"/>
  <c r="AN187" i="24" s="1"/>
  <c r="AJ21" i="24"/>
  <c r="AJ31" i="24"/>
  <c r="AG199" i="24"/>
  <c r="AK199" i="24" s="1"/>
  <c r="AI13" i="24"/>
  <c r="AJ13" i="24" s="1"/>
  <c r="AG100" i="24"/>
  <c r="AN100" i="24" s="1"/>
  <c r="AX100" i="24" s="1"/>
  <c r="AF56" i="24"/>
  <c r="AN56" i="24" s="1"/>
  <c r="AX56" i="24" s="1"/>
  <c r="AG27" i="24"/>
  <c r="AK27" i="24" s="1"/>
  <c r="AG125" i="24"/>
  <c r="AN125" i="24" s="1"/>
  <c r="BH125" i="24" s="1"/>
  <c r="AG192" i="24"/>
  <c r="AK192" i="24" s="1"/>
  <c r="AF159" i="24"/>
  <c r="AG205" i="24"/>
  <c r="AK205" i="24" s="1"/>
  <c r="AF167" i="24"/>
  <c r="AT87" i="24"/>
  <c r="BA87" i="24" s="1"/>
  <c r="AF23" i="24"/>
  <c r="AF83" i="24"/>
  <c r="AN83" i="24" s="1"/>
  <c r="AX83" i="24" s="1"/>
  <c r="AG41" i="24"/>
  <c r="AF152" i="24"/>
  <c r="AG161" i="24"/>
  <c r="AK161" i="24" s="1"/>
  <c r="AG136" i="24"/>
  <c r="AJ19" i="24"/>
  <c r="AJ123" i="24"/>
  <c r="AF73" i="24"/>
  <c r="AK73" i="24" s="1"/>
  <c r="AG207" i="24"/>
  <c r="AG210" i="24"/>
  <c r="AG134" i="24"/>
  <c r="AK134" i="24" s="1"/>
  <c r="AG188" i="24"/>
  <c r="AK188" i="24" s="1"/>
  <c r="AG163" i="24"/>
  <c r="AK163" i="24" s="1"/>
  <c r="AT60" i="24"/>
  <c r="BA60" i="24" s="1"/>
  <c r="AJ29" i="24"/>
  <c r="AG149" i="24"/>
  <c r="AK149" i="24" s="1"/>
  <c r="AG87" i="24"/>
  <c r="AK87" i="24" s="1"/>
  <c r="AF182" i="24"/>
  <c r="AK182" i="24" s="1"/>
  <c r="AF165" i="24"/>
  <c r="AK165" i="24" s="1"/>
  <c r="AF162" i="24"/>
  <c r="AG50" i="24"/>
  <c r="AK50" i="24" s="1"/>
  <c r="AG60" i="24"/>
  <c r="AK60" i="24" s="1"/>
  <c r="AG28" i="24"/>
  <c r="AN28" i="24" s="1"/>
  <c r="AT55" i="24"/>
  <c r="BA55" i="24" s="1"/>
  <c r="AG72" i="24"/>
  <c r="AN72" i="24" s="1"/>
  <c r="AG172" i="24"/>
  <c r="X35" i="24"/>
  <c r="AA35" i="24" s="1"/>
  <c r="AB35" i="24" s="1"/>
  <c r="AC35" i="24" s="1"/>
  <c r="AJ35" i="24" s="1"/>
  <c r="AJ28" i="24"/>
  <c r="AG42" i="24"/>
  <c r="AN42" i="24" s="1"/>
  <c r="BV42" i="24" s="1"/>
  <c r="AJ115" i="24"/>
  <c r="AG55" i="24"/>
  <c r="AJ116" i="24"/>
  <c r="X71" i="24"/>
  <c r="AA71" i="24" s="1"/>
  <c r="AB71" i="24" s="1"/>
  <c r="AC71" i="24" s="1"/>
  <c r="W11" i="24"/>
  <c r="Y11" i="24" s="1"/>
  <c r="AI43" i="24"/>
  <c r="AJ43" i="24" s="1"/>
  <c r="AG31" i="24"/>
  <c r="AN31" i="24" s="1"/>
  <c r="AG115" i="24"/>
  <c r="AG64" i="24"/>
  <c r="B126" i="2"/>
  <c r="AG97" i="24"/>
  <c r="AJ33" i="24"/>
  <c r="AG40" i="24"/>
  <c r="AN40" i="24" s="1"/>
  <c r="AG116" i="24"/>
  <c r="AN116" i="24" s="1"/>
  <c r="AG201" i="24"/>
  <c r="AN201" i="24" s="1"/>
  <c r="AG169" i="24"/>
  <c r="AG131" i="24"/>
  <c r="AK131" i="24" s="1"/>
  <c r="AG194" i="24"/>
  <c r="AK194" i="24" s="1"/>
  <c r="AG155" i="24"/>
  <c r="AE65" i="24"/>
  <c r="AF65" i="24" s="1"/>
  <c r="AG82" i="24"/>
  <c r="AN82" i="24" s="1"/>
  <c r="CD82" i="24" s="1"/>
  <c r="AG63" i="24"/>
  <c r="AN63" i="24" s="1"/>
  <c r="CD63" i="24" s="1"/>
  <c r="AF74" i="24"/>
  <c r="AN74" i="24" s="1"/>
  <c r="CD74" i="24" s="1"/>
  <c r="AG21" i="24"/>
  <c r="AN21" i="24" s="1"/>
  <c r="AF55" i="24"/>
  <c r="AG19" i="24"/>
  <c r="AN19" i="24" s="1"/>
  <c r="AG91" i="24"/>
  <c r="AK91" i="24" s="1"/>
  <c r="AG79" i="24"/>
  <c r="AN79" i="24" s="1"/>
  <c r="CD79" i="24" s="1"/>
  <c r="AF154" i="24"/>
  <c r="AN154" i="24" s="1"/>
  <c r="BH154" i="24" s="1"/>
  <c r="AG123" i="24"/>
  <c r="W99" i="24"/>
  <c r="Y99" i="24" s="1"/>
  <c r="AG33" i="24"/>
  <c r="AT42" i="24"/>
  <c r="BA42" i="24" s="1"/>
  <c r="AE22" i="24"/>
  <c r="AF22" i="24" s="1"/>
  <c r="AI8" i="24"/>
  <c r="AJ8" i="24" s="1"/>
  <c r="AF33" i="24"/>
  <c r="AE26" i="24"/>
  <c r="AF26" i="24" s="1"/>
  <c r="AG104" i="24"/>
  <c r="AN104" i="24" s="1"/>
  <c r="BV104" i="24" s="1"/>
  <c r="AG32" i="24"/>
  <c r="AN32" i="24" s="1"/>
  <c r="AX32" i="24" s="1"/>
  <c r="AG68" i="24"/>
  <c r="AN68" i="24" s="1"/>
  <c r="CD68" i="24" s="1"/>
  <c r="AG86" i="24"/>
  <c r="AK86" i="24" s="1"/>
  <c r="AG59" i="24"/>
  <c r="AN59" i="24" s="1"/>
  <c r="W88" i="24"/>
  <c r="Y88" i="24" s="1"/>
  <c r="AG29" i="24"/>
  <c r="AN29" i="24" s="1"/>
  <c r="AE43" i="24"/>
  <c r="AG43" i="24" s="1"/>
  <c r="AF70" i="24"/>
  <c r="AT70" i="24"/>
  <c r="BA70" i="24" s="1"/>
  <c r="AT69" i="24"/>
  <c r="BA69" i="24" s="1"/>
  <c r="AE13" i="24"/>
  <c r="AF13" i="24" s="1"/>
  <c r="W13" i="24"/>
  <c r="Y13" i="24" s="1"/>
  <c r="AI71" i="24"/>
  <c r="AG69" i="24"/>
  <c r="AK69" i="24" s="1"/>
  <c r="AG53" i="24"/>
  <c r="AN53" i="24" s="1"/>
  <c r="AX53" i="24" s="1"/>
  <c r="X49" i="24"/>
  <c r="AA49" i="24" s="1"/>
  <c r="AB49" i="24" s="1"/>
  <c r="AC49" i="24" s="1"/>
  <c r="AJ49" i="24" s="1"/>
  <c r="AE71" i="24"/>
  <c r="AF71" i="24" s="1"/>
  <c r="P8" i="24"/>
  <c r="P94" i="24"/>
  <c r="AE102" i="24"/>
  <c r="AF102" i="24" s="1"/>
  <c r="AP94" i="24"/>
  <c r="W61" i="24"/>
  <c r="Y61" i="24" s="1"/>
  <c r="P93" i="24"/>
  <c r="W65" i="24"/>
  <c r="Y65" i="24" s="1"/>
  <c r="W6" i="24"/>
  <c r="Y6" i="24" s="1"/>
  <c r="X22" i="24"/>
  <c r="AA22" i="24" s="1"/>
  <c r="AB22" i="24" s="1"/>
  <c r="AC22" i="24" s="1"/>
  <c r="AP49" i="24"/>
  <c r="P77" i="24"/>
  <c r="X37" i="24"/>
  <c r="AA37" i="24" s="1"/>
  <c r="AB37" i="24" s="1"/>
  <c r="AC37" i="24" s="1"/>
  <c r="AJ37" i="24" s="1"/>
  <c r="W43" i="24"/>
  <c r="Y43" i="24" s="1"/>
  <c r="X102" i="24"/>
  <c r="AA102" i="24" s="1"/>
  <c r="AB102" i="24" s="1"/>
  <c r="AC102" i="24" s="1"/>
  <c r="AJ102" i="24" s="1"/>
  <c r="P35" i="24"/>
  <c r="AP84" i="24"/>
  <c r="P49" i="24"/>
  <c r="P81" i="24"/>
  <c r="AI22" i="24"/>
  <c r="W102" i="24"/>
  <c r="Y102" i="24" s="1"/>
  <c r="X65" i="24"/>
  <c r="AA65" i="24" s="1"/>
  <c r="AB65" i="24" s="1"/>
  <c r="AC65" i="24" s="1"/>
  <c r="AJ65" i="24" s="1"/>
  <c r="Q38" i="24"/>
  <c r="R38" i="24" s="1"/>
  <c r="Q9" i="24"/>
  <c r="R9" i="24" s="1"/>
  <c r="Q15" i="24"/>
  <c r="R15" i="24" s="1"/>
  <c r="AP90" i="24"/>
  <c r="Q90" i="24"/>
  <c r="R90" i="24" s="1"/>
  <c r="Q47" i="24"/>
  <c r="R47" i="24" s="1"/>
  <c r="AP99" i="24"/>
  <c r="Q99" i="24"/>
  <c r="R99" i="24" s="1"/>
  <c r="Q76" i="24"/>
  <c r="R76" i="24" s="1"/>
  <c r="AP80" i="24"/>
  <c r="Q80" i="24"/>
  <c r="R80" i="24" s="1"/>
  <c r="AP6" i="24"/>
  <c r="Q6" i="24"/>
  <c r="R6" i="24" s="1"/>
  <c r="AP61" i="24"/>
  <c r="Q61" i="24"/>
  <c r="R61" i="24" s="1"/>
  <c r="AP75" i="24"/>
  <c r="Q75" i="24"/>
  <c r="R75" i="24" s="1"/>
  <c r="Q103" i="24"/>
  <c r="R103" i="24" s="1"/>
  <c r="AP44" i="24"/>
  <c r="Q44" i="24"/>
  <c r="R44" i="24" s="1"/>
  <c r="Q102" i="24"/>
  <c r="R102" i="24" s="1"/>
  <c r="Q65" i="24"/>
  <c r="R65" i="24" s="1"/>
  <c r="P52" i="24"/>
  <c r="Q52" i="24"/>
  <c r="R52" i="24" s="1"/>
  <c r="AP22" i="24"/>
  <c r="Q22" i="24"/>
  <c r="R22" i="24" s="1"/>
  <c r="AP45" i="24"/>
  <c r="Q45" i="24"/>
  <c r="R45" i="24" s="1"/>
  <c r="P39" i="24"/>
  <c r="Q39" i="24"/>
  <c r="R39" i="24" s="1"/>
  <c r="Q37" i="24"/>
  <c r="R37" i="24" s="1"/>
  <c r="AP88" i="24"/>
  <c r="Q88" i="24"/>
  <c r="R88" i="24" s="1"/>
  <c r="AP67" i="24"/>
  <c r="Q67" i="24"/>
  <c r="R67" i="24" s="1"/>
  <c r="Q77" i="24"/>
  <c r="R77" i="24" s="1"/>
  <c r="Q17" i="24"/>
  <c r="R17" i="24" s="1"/>
  <c r="AP16" i="24"/>
  <c r="Q16" i="24"/>
  <c r="R16" i="24" s="1"/>
  <c r="Q7" i="24"/>
  <c r="R7" i="24" s="1"/>
  <c r="Q98" i="24"/>
  <c r="R98" i="24" s="1"/>
  <c r="P57" i="24"/>
  <c r="Q57" i="24"/>
  <c r="R57" i="24" s="1"/>
  <c r="Q58" i="24"/>
  <c r="R58" i="24" s="1"/>
  <c r="AP43" i="24"/>
  <c r="Q43" i="24"/>
  <c r="R43" i="24" s="1"/>
  <c r="P71" i="24"/>
  <c r="Q71" i="24"/>
  <c r="R71" i="24" s="1"/>
  <c r="P11" i="24"/>
  <c r="Q11" i="24"/>
  <c r="R11" i="24" s="1"/>
  <c r="AP12" i="24"/>
  <c r="Q12" i="24"/>
  <c r="R12" i="24" s="1"/>
  <c r="Q13" i="24"/>
  <c r="R13" i="24" s="1"/>
  <c r="P26" i="24"/>
  <c r="Q26" i="24"/>
  <c r="R26" i="24" s="1"/>
  <c r="AP62" i="24"/>
  <c r="Q62" i="24"/>
  <c r="R62" i="24" s="1"/>
  <c r="AP13" i="24"/>
  <c r="P98" i="24"/>
  <c r="AE93" i="24"/>
  <c r="AF93" i="24" s="1"/>
  <c r="W37" i="24"/>
  <c r="Y37" i="24" s="1"/>
  <c r="AI94" i="24"/>
  <c r="AE49" i="24"/>
  <c r="AF49" i="24" s="1"/>
  <c r="AP57" i="24"/>
  <c r="W94" i="24"/>
  <c r="Y94" i="24" s="1"/>
  <c r="P62" i="24"/>
  <c r="P13" i="24"/>
  <c r="P43" i="24"/>
  <c r="AI93" i="24"/>
  <c r="AE37" i="24"/>
  <c r="W8" i="24"/>
  <c r="Y8" i="24" s="1"/>
  <c r="X94" i="24"/>
  <c r="W49" i="24"/>
  <c r="Y49" i="24" s="1"/>
  <c r="P7" i="24"/>
  <c r="P58" i="24"/>
  <c r="X93" i="24"/>
  <c r="AA93" i="24" s="1"/>
  <c r="AB93" i="24" s="1"/>
  <c r="AC93" i="24" s="1"/>
  <c r="P12" i="24"/>
  <c r="AE8" i="24"/>
  <c r="P103" i="24"/>
  <c r="P102" i="24"/>
  <c r="BI5" i="24"/>
  <c r="P6" i="24"/>
  <c r="P75" i="24"/>
  <c r="AP65" i="24"/>
  <c r="P65" i="24"/>
  <c r="AE34" i="24"/>
  <c r="AF34" i="24" s="1"/>
  <c r="X99" i="24"/>
  <c r="AA99" i="24" s="1"/>
  <c r="AB99" i="24" s="1"/>
  <c r="AC99" i="24" s="1"/>
  <c r="AJ99" i="24" s="1"/>
  <c r="AI98" i="24"/>
  <c r="W98" i="24"/>
  <c r="Y98" i="24" s="1"/>
  <c r="AE98" i="24"/>
  <c r="X98" i="24"/>
  <c r="AA98" i="24" s="1"/>
  <c r="AB98" i="24" s="1"/>
  <c r="AC98" i="24" s="1"/>
  <c r="AE57" i="24"/>
  <c r="AI57" i="24"/>
  <c r="W57" i="24"/>
  <c r="Y57" i="24" s="1"/>
  <c r="X57" i="24"/>
  <c r="AA57" i="24" s="1"/>
  <c r="AB57" i="24" s="1"/>
  <c r="AC57" i="24" s="1"/>
  <c r="X58" i="24"/>
  <c r="AA58" i="24" s="1"/>
  <c r="AB58" i="24" s="1"/>
  <c r="AC58" i="24" s="1"/>
  <c r="AJ58" i="24" s="1"/>
  <c r="AE58" i="24"/>
  <c r="W58" i="24"/>
  <c r="Y58" i="24" s="1"/>
  <c r="X11" i="24"/>
  <c r="AA11" i="24" s="1"/>
  <c r="AB11" i="24" s="1"/>
  <c r="AC11" i="24" s="1"/>
  <c r="AJ11" i="24" s="1"/>
  <c r="AE11" i="24"/>
  <c r="AE12" i="24"/>
  <c r="AI12" i="24"/>
  <c r="X12" i="24"/>
  <c r="AA12" i="24" s="1"/>
  <c r="AB12" i="24" s="1"/>
  <c r="AC12" i="24" s="1"/>
  <c r="AP30" i="24"/>
  <c r="AI26" i="24"/>
  <c r="X26" i="24"/>
  <c r="AI62" i="24"/>
  <c r="W62" i="24"/>
  <c r="Y62" i="24" s="1"/>
  <c r="AE62" i="24"/>
  <c r="X62" i="24"/>
  <c r="AA62" i="24" s="1"/>
  <c r="AB62" i="24" s="1"/>
  <c r="AC62" i="24" s="1"/>
  <c r="AP20" i="24"/>
  <c r="AP48" i="24"/>
  <c r="AP34" i="24"/>
  <c r="W9" i="24"/>
  <c r="Y9" i="24" s="1"/>
  <c r="AI9" i="24"/>
  <c r="AE9" i="24"/>
  <c r="X9" i="24"/>
  <c r="AA9" i="24" s="1"/>
  <c r="AB9" i="24" s="1"/>
  <c r="AC9" i="24" s="1"/>
  <c r="AE90" i="24"/>
  <c r="X90" i="24"/>
  <c r="AA90" i="24" s="1"/>
  <c r="AB90" i="24" s="1"/>
  <c r="AC90" i="24" s="1"/>
  <c r="AI90" i="24"/>
  <c r="AE47" i="24"/>
  <c r="X47" i="24"/>
  <c r="AA47" i="24" s="1"/>
  <c r="AB47" i="24" s="1"/>
  <c r="AC47" i="24" s="1"/>
  <c r="AJ47" i="24" s="1"/>
  <c r="AE20" i="24"/>
  <c r="X20" i="24"/>
  <c r="AA20" i="24" s="1"/>
  <c r="AB20" i="24" s="1"/>
  <c r="AC20" i="24" s="1"/>
  <c r="AI20" i="24"/>
  <c r="P22" i="24"/>
  <c r="W20" i="24"/>
  <c r="Y20" i="24" s="1"/>
  <c r="W34" i="24"/>
  <c r="Y34" i="24" s="1"/>
  <c r="AE99" i="24"/>
  <c r="W47" i="24"/>
  <c r="Y47" i="24" s="1"/>
  <c r="AI61" i="24"/>
  <c r="AJ61" i="24" s="1"/>
  <c r="AE61" i="24"/>
  <c r="AF61" i="24" s="1"/>
  <c r="AI75" i="24"/>
  <c r="W75" i="24"/>
  <c r="Y75" i="24" s="1"/>
  <c r="AE75" i="24"/>
  <c r="X75" i="24"/>
  <c r="AA75" i="24" s="1"/>
  <c r="AB75" i="24" s="1"/>
  <c r="AC75" i="24" s="1"/>
  <c r="AI103" i="24"/>
  <c r="AE103" i="24"/>
  <c r="W103" i="24"/>
  <c r="Y103" i="24" s="1"/>
  <c r="X103" i="24"/>
  <c r="AA103" i="24" s="1"/>
  <c r="AB103" i="24" s="1"/>
  <c r="AC103" i="24" s="1"/>
  <c r="AI44" i="24"/>
  <c r="X44" i="24"/>
  <c r="AA44" i="24" s="1"/>
  <c r="AB44" i="24" s="1"/>
  <c r="AC44" i="24" s="1"/>
  <c r="W44" i="24"/>
  <c r="Y44" i="24" s="1"/>
  <c r="R84" i="24"/>
  <c r="P84" i="24"/>
  <c r="AI52" i="24"/>
  <c r="X52" i="24"/>
  <c r="AA52" i="24" s="1"/>
  <c r="AB52" i="24" s="1"/>
  <c r="AC52" i="24" s="1"/>
  <c r="AE52" i="24"/>
  <c r="W52" i="24"/>
  <c r="Y52" i="24" s="1"/>
  <c r="W45" i="24"/>
  <c r="Y45" i="24" s="1"/>
  <c r="AI45" i="24"/>
  <c r="AE45" i="24"/>
  <c r="X45" i="24"/>
  <c r="AA45" i="24" s="1"/>
  <c r="AB45" i="24" s="1"/>
  <c r="AC45" i="24" s="1"/>
  <c r="AP8" i="24"/>
  <c r="AP81" i="24"/>
  <c r="AP35" i="24"/>
  <c r="AP93" i="24"/>
  <c r="AP103" i="24"/>
  <c r="AE30" i="24"/>
  <c r="W30" i="24"/>
  <c r="Y30" i="24" s="1"/>
  <c r="X30" i="24"/>
  <c r="AA30" i="24" s="1"/>
  <c r="AB30" i="24" s="1"/>
  <c r="AC30" i="24" s="1"/>
  <c r="AI30" i="24"/>
  <c r="W38" i="24"/>
  <c r="Y38" i="24" s="1"/>
  <c r="AI38" i="24"/>
  <c r="AE38" i="24"/>
  <c r="X38" i="24"/>
  <c r="AA38" i="24" s="1"/>
  <c r="AB38" i="24" s="1"/>
  <c r="AC38" i="24" s="1"/>
  <c r="W15" i="24"/>
  <c r="Y15" i="24" s="1"/>
  <c r="X15" i="24"/>
  <c r="AA15" i="24" s="1"/>
  <c r="AB15" i="24" s="1"/>
  <c r="AC15" i="24" s="1"/>
  <c r="AJ15" i="24" s="1"/>
  <c r="AP52" i="24"/>
  <c r="AE24" i="24"/>
  <c r="W24" i="24"/>
  <c r="Y24" i="24" s="1"/>
  <c r="X24" i="24"/>
  <c r="AA24" i="24" s="1"/>
  <c r="AB24" i="24" s="1"/>
  <c r="AC24" i="24" s="1"/>
  <c r="AI24" i="24"/>
  <c r="AI48" i="24"/>
  <c r="X48" i="24"/>
  <c r="AA48" i="24" s="1"/>
  <c r="AB48" i="24" s="1"/>
  <c r="AC48" i="24" s="1"/>
  <c r="AE66" i="24"/>
  <c r="AI66" i="24"/>
  <c r="X66" i="24"/>
  <c r="AA66" i="24" s="1"/>
  <c r="AB66" i="24" s="1"/>
  <c r="AC66" i="24" s="1"/>
  <c r="W66" i="24"/>
  <c r="Y66" i="24" s="1"/>
  <c r="X76" i="24"/>
  <c r="AA76" i="24" s="1"/>
  <c r="AB76" i="24" s="1"/>
  <c r="AC76" i="24" s="1"/>
  <c r="W76" i="24"/>
  <c r="Y76" i="24" s="1"/>
  <c r="AE76" i="24"/>
  <c r="AI76" i="24"/>
  <c r="W80" i="24"/>
  <c r="Y80" i="24" s="1"/>
  <c r="AE80" i="24"/>
  <c r="AI80" i="24"/>
  <c r="X80" i="24"/>
  <c r="AA80" i="24" s="1"/>
  <c r="AB80" i="24" s="1"/>
  <c r="AC80" i="24" s="1"/>
  <c r="AF44" i="24"/>
  <c r="AT53" i="24"/>
  <c r="BA53" i="24" s="1"/>
  <c r="AP102" i="24"/>
  <c r="W90" i="24"/>
  <c r="Y90" i="24" s="1"/>
  <c r="P45" i="24"/>
  <c r="AE15" i="24"/>
  <c r="AF15" i="24" s="1"/>
  <c r="P44" i="24"/>
  <c r="X34" i="24"/>
  <c r="AA34" i="24" s="1"/>
  <c r="AB34" i="24" s="1"/>
  <c r="AC34" i="24" s="1"/>
  <c r="AJ34" i="24" s="1"/>
  <c r="AE48" i="24"/>
  <c r="AF48" i="24" s="1"/>
  <c r="AP71" i="24"/>
  <c r="AP11" i="24"/>
  <c r="AE39" i="24"/>
  <c r="X39" i="24"/>
  <c r="AA39" i="24" s="1"/>
  <c r="AB39" i="24" s="1"/>
  <c r="AC39" i="24" s="1"/>
  <c r="AI39" i="24"/>
  <c r="W39" i="24"/>
  <c r="Y39" i="24" s="1"/>
  <c r="AI84" i="24"/>
  <c r="X84" i="24"/>
  <c r="AA84" i="24" s="1"/>
  <c r="AB84" i="24" s="1"/>
  <c r="AC84" i="24" s="1"/>
  <c r="AE84" i="24"/>
  <c r="W84" i="24"/>
  <c r="Y84" i="24" s="1"/>
  <c r="AP26" i="24"/>
  <c r="AI88" i="24"/>
  <c r="AJ88" i="24" s="1"/>
  <c r="AE88" i="24"/>
  <c r="AF88" i="24" s="1"/>
  <c r="AE67" i="24"/>
  <c r="AI67" i="24"/>
  <c r="X67" i="24"/>
  <c r="AA67" i="24" s="1"/>
  <c r="AB67" i="24" s="1"/>
  <c r="AC67" i="24" s="1"/>
  <c r="W67" i="24"/>
  <c r="Y67" i="24" s="1"/>
  <c r="X77" i="24"/>
  <c r="AA77" i="24" s="1"/>
  <c r="AB77" i="24" s="1"/>
  <c r="AC77" i="24" s="1"/>
  <c r="AI77" i="24"/>
  <c r="AE77" i="24"/>
  <c r="W77" i="24"/>
  <c r="Y77" i="24" s="1"/>
  <c r="AI17" i="24"/>
  <c r="X17" i="24"/>
  <c r="AA17" i="24" s="1"/>
  <c r="AB17" i="24" s="1"/>
  <c r="AC17" i="24" s="1"/>
  <c r="AE17" i="24"/>
  <c r="W17" i="24"/>
  <c r="Y17" i="24" s="1"/>
  <c r="AE16" i="24"/>
  <c r="X16" i="24"/>
  <c r="AA16" i="24" s="1"/>
  <c r="AB16" i="24" s="1"/>
  <c r="AC16" i="24" s="1"/>
  <c r="AI16" i="24"/>
  <c r="AI81" i="24"/>
  <c r="X81" i="24"/>
  <c r="AA81" i="24" s="1"/>
  <c r="AB81" i="24" s="1"/>
  <c r="AC81" i="24" s="1"/>
  <c r="W81" i="24"/>
  <c r="Y81" i="24" s="1"/>
  <c r="W35" i="24"/>
  <c r="Y35" i="24" s="1"/>
  <c r="AE35" i="24"/>
  <c r="AF35" i="24" s="1"/>
  <c r="W7" i="24"/>
  <c r="Y7" i="24" s="1"/>
  <c r="X7" i="24"/>
  <c r="AA7" i="24" s="1"/>
  <c r="AB7" i="24" s="1"/>
  <c r="AC7" i="24" s="1"/>
  <c r="AI7" i="24"/>
  <c r="AE7" i="24"/>
  <c r="AI6" i="24"/>
  <c r="AJ6" i="24" s="1"/>
  <c r="AE6" i="24"/>
  <c r="AT50" i="24"/>
  <c r="BA50" i="24" s="1"/>
  <c r="AT32" i="24"/>
  <c r="BA32" i="24" s="1"/>
  <c r="AT23" i="24"/>
  <c r="BA23" i="24" s="1"/>
  <c r="AT25" i="24"/>
  <c r="BA25" i="24" s="1"/>
  <c r="AT14" i="24"/>
  <c r="BA14" i="24" s="1"/>
  <c r="AX5" i="24"/>
  <c r="AT5" i="24"/>
  <c r="BA5" i="24" s="1"/>
  <c r="AF110" i="24"/>
  <c r="AK110" i="24" s="1"/>
  <c r="BJ5" i="24"/>
  <c r="AK5" i="24"/>
  <c r="AS5" i="24"/>
  <c r="AQ5" i="24"/>
  <c r="BH5" i="24"/>
  <c r="BT5" i="24"/>
  <c r="AF110" i="25"/>
  <c r="AJ110" i="25" s="1"/>
  <c r="Z5" i="25"/>
  <c r="AA5" i="25" s="1"/>
  <c r="AB5" i="25" s="1"/>
  <c r="AI5" i="25" s="1"/>
  <c r="AF5" i="25"/>
  <c r="AS40" i="25"/>
  <c r="AX40" i="25" s="1"/>
  <c r="AS13" i="25"/>
  <c r="AX13" i="25" s="1"/>
  <c r="AS29" i="25"/>
  <c r="AX29" i="25" s="1"/>
  <c r="AS44" i="25"/>
  <c r="AX44" i="25" s="1"/>
  <c r="AS14" i="25"/>
  <c r="AX14" i="25" s="1"/>
  <c r="AS36" i="25"/>
  <c r="AX36" i="25" s="1"/>
  <c r="AS9" i="25"/>
  <c r="AX9" i="25" s="1"/>
  <c r="AS47" i="25"/>
  <c r="AX47" i="25" s="1"/>
  <c r="AS22" i="25"/>
  <c r="AX22" i="25" s="1"/>
  <c r="AS88" i="25"/>
  <c r="AX88" i="25" s="1"/>
  <c r="AS79" i="25"/>
  <c r="AX79" i="25" s="1"/>
  <c r="AS20" i="25"/>
  <c r="AX20" i="25" s="1"/>
  <c r="AS96" i="25"/>
  <c r="AX96" i="25" s="1"/>
  <c r="AS62" i="25"/>
  <c r="AX62" i="25" s="1"/>
  <c r="AS86" i="25"/>
  <c r="AX86" i="25" s="1"/>
  <c r="AS93" i="25"/>
  <c r="AX93" i="25" s="1"/>
  <c r="AS61" i="25"/>
  <c r="AX61" i="25" s="1"/>
  <c r="AS70" i="25"/>
  <c r="AX70" i="25" s="1"/>
  <c r="AS26" i="25"/>
  <c r="AX26" i="25" s="1"/>
  <c r="AS38" i="25"/>
  <c r="AX38" i="25" s="1"/>
  <c r="AS24" i="25"/>
  <c r="AX24" i="25" s="1"/>
  <c r="AS104" i="25"/>
  <c r="AX104" i="25" s="1"/>
  <c r="AS27" i="25"/>
  <c r="AX27" i="25" s="1"/>
  <c r="AS102" i="25"/>
  <c r="AX102" i="25" s="1"/>
  <c r="AS17" i="25"/>
  <c r="AX17" i="25" s="1"/>
  <c r="AS48" i="25"/>
  <c r="AX48" i="25" s="1"/>
  <c r="AS30" i="25"/>
  <c r="AX30" i="25" s="1"/>
  <c r="AS103" i="25"/>
  <c r="AX103" i="25" s="1"/>
  <c r="AS28" i="25"/>
  <c r="AX28" i="25" s="1"/>
  <c r="AS105" i="25"/>
  <c r="AX105" i="25" s="1"/>
  <c r="B104" i="2" s="1"/>
  <c r="AS81" i="25"/>
  <c r="AX81" i="25" s="1"/>
  <c r="AS11" i="25"/>
  <c r="AX11" i="25" s="1"/>
  <c r="AS91" i="25"/>
  <c r="AX91" i="25" s="1"/>
  <c r="AS49" i="25"/>
  <c r="AX49" i="25" s="1"/>
  <c r="AS6" i="25"/>
  <c r="AX6" i="25" s="1"/>
  <c r="AS56" i="25"/>
  <c r="AX56" i="25" s="1"/>
  <c r="AS76" i="25"/>
  <c r="AX76" i="25" s="1"/>
  <c r="AS92" i="25"/>
  <c r="AX92" i="25" s="1"/>
  <c r="AS78" i="25"/>
  <c r="AX78" i="25" s="1"/>
  <c r="AS94" i="25"/>
  <c r="AX94" i="25" s="1"/>
  <c r="AS41" i="25"/>
  <c r="AX41" i="25" s="1"/>
  <c r="AS21" i="25"/>
  <c r="AX21" i="25" s="1"/>
  <c r="AS8" i="25"/>
  <c r="AX8" i="25" s="1"/>
  <c r="AS67" i="25"/>
  <c r="AX67" i="25" s="1"/>
  <c r="AS42" i="25"/>
  <c r="AX42" i="25" s="1"/>
  <c r="AS101" i="25"/>
  <c r="AX101" i="25" s="1"/>
  <c r="AS51" i="25"/>
  <c r="AX51" i="25" s="1"/>
  <c r="AS64" i="25"/>
  <c r="AX64" i="25" s="1"/>
  <c r="AS12" i="25"/>
  <c r="AX12" i="25" s="1"/>
  <c r="AS87" i="25"/>
  <c r="AX87" i="25" s="1"/>
  <c r="AS37" i="25"/>
  <c r="AX37" i="25" s="1"/>
  <c r="AS82" i="25"/>
  <c r="AX82" i="25" s="1"/>
  <c r="AS54" i="25"/>
  <c r="AX54" i="25" s="1"/>
  <c r="AS68" i="25"/>
  <c r="AX68" i="25" s="1"/>
  <c r="AS52" i="25"/>
  <c r="AX52" i="25" s="1"/>
  <c r="AS63" i="25"/>
  <c r="AX63" i="25" s="1"/>
  <c r="AS35" i="25"/>
  <c r="AX35" i="25" s="1"/>
  <c r="AS53" i="25"/>
  <c r="AX53" i="25" s="1"/>
  <c r="AS83" i="25"/>
  <c r="AX83" i="25" s="1"/>
  <c r="AS59" i="25"/>
  <c r="AX59" i="25" s="1"/>
  <c r="AS100" i="25"/>
  <c r="AX100" i="25" s="1"/>
  <c r="AS15" i="25"/>
  <c r="AX15" i="25" s="1"/>
  <c r="AS71" i="25"/>
  <c r="AX71" i="25" s="1"/>
  <c r="AS97" i="25"/>
  <c r="AX97" i="25" s="1"/>
  <c r="AS31" i="25"/>
  <c r="AX31" i="25" s="1"/>
  <c r="AS69" i="25"/>
  <c r="AX69" i="25" s="1"/>
  <c r="AJ216" i="25"/>
  <c r="AM216" i="25"/>
  <c r="AJ265" i="25"/>
  <c r="AM265" i="25"/>
  <c r="CD265" i="25" s="1"/>
  <c r="AM275" i="25"/>
  <c r="CD275" i="25" s="1"/>
  <c r="AJ275" i="25"/>
  <c r="AJ189" i="25"/>
  <c r="AM189" i="25"/>
  <c r="BV189" i="25" s="1"/>
  <c r="AJ224" i="25"/>
  <c r="AM224" i="25"/>
  <c r="CD224" i="25" s="1"/>
  <c r="AJ259" i="25"/>
  <c r="AM259" i="25"/>
  <c r="CD259" i="25" s="1"/>
  <c r="AJ156" i="25"/>
  <c r="AM156" i="25"/>
  <c r="BV156" i="25" s="1"/>
  <c r="AM162" i="25"/>
  <c r="AJ162" i="25"/>
  <c r="AM174" i="25"/>
  <c r="BV174" i="25" s="1"/>
  <c r="AJ174" i="25"/>
  <c r="AJ31" i="25"/>
  <c r="AM31" i="25"/>
  <c r="AJ116" i="25"/>
  <c r="AM116" i="25"/>
  <c r="BV116" i="25" s="1"/>
  <c r="AS10" i="25"/>
  <c r="AX10" i="25" s="1"/>
  <c r="AJ59" i="25"/>
  <c r="AM59" i="25"/>
  <c r="CD59" i="25" s="1"/>
  <c r="AJ293" i="25"/>
  <c r="AM293" i="25"/>
  <c r="CD293" i="25" s="1"/>
  <c r="AM138" i="25"/>
  <c r="BV138" i="25" s="1"/>
  <c r="AJ138" i="25"/>
  <c r="AJ127" i="25"/>
  <c r="AM127" i="25"/>
  <c r="BV127" i="25" s="1"/>
  <c r="AJ99" i="25"/>
  <c r="AM99" i="25"/>
  <c r="CD99" i="25" s="1"/>
  <c r="AJ26" i="25"/>
  <c r="AM26" i="25"/>
  <c r="CD26" i="25" s="1"/>
  <c r="AM136" i="25"/>
  <c r="BV136" i="25" s="1"/>
  <c r="AJ136" i="25"/>
  <c r="AM98" i="25"/>
  <c r="BV98" i="25" s="1"/>
  <c r="AJ98" i="25"/>
  <c r="AM254" i="25"/>
  <c r="AJ254" i="25"/>
  <c r="AJ173" i="25"/>
  <c r="AM173" i="25"/>
  <c r="CD173" i="25" s="1"/>
  <c r="AS60" i="25"/>
  <c r="AX60" i="25" s="1"/>
  <c r="AM311" i="25"/>
  <c r="CD311" i="25" s="1"/>
  <c r="AJ311" i="25"/>
  <c r="AM159" i="25"/>
  <c r="BV159" i="25" s="1"/>
  <c r="AJ159" i="25"/>
  <c r="AM103" i="25"/>
  <c r="CD103" i="25" s="1"/>
  <c r="AJ103" i="25"/>
  <c r="AJ85" i="25"/>
  <c r="AM85" i="25"/>
  <c r="BT85" i="25" s="1"/>
  <c r="AJ269" i="25"/>
  <c r="AM269" i="25"/>
  <c r="CD269" i="25" s="1"/>
  <c r="AS57" i="25"/>
  <c r="AX57" i="25" s="1"/>
  <c r="AJ157" i="25"/>
  <c r="AM157" i="25"/>
  <c r="BV157" i="25" s="1"/>
  <c r="AJ242" i="25"/>
  <c r="AM242" i="25"/>
  <c r="CD242" i="25" s="1"/>
  <c r="AM102" i="25"/>
  <c r="CD102" i="25" s="1"/>
  <c r="AJ102" i="25"/>
  <c r="AM93" i="25"/>
  <c r="CD93" i="25" s="1"/>
  <c r="AJ93" i="25"/>
  <c r="AM87" i="25"/>
  <c r="CD87" i="25" s="1"/>
  <c r="AJ87" i="25"/>
  <c r="AJ135" i="25"/>
  <c r="AM135" i="25"/>
  <c r="AM309" i="25"/>
  <c r="CD309" i="25" s="1"/>
  <c r="AJ309" i="25"/>
  <c r="AJ310" i="25"/>
  <c r="AM310" i="25"/>
  <c r="CD310" i="25" s="1"/>
  <c r="AJ15" i="25"/>
  <c r="AM15" i="25"/>
  <c r="BV15" i="25" s="1"/>
  <c r="AM14" i="25"/>
  <c r="CD14" i="25" s="1"/>
  <c r="AJ14" i="25"/>
  <c r="AM257" i="25"/>
  <c r="AJ257" i="25"/>
  <c r="AJ153" i="25"/>
  <c r="AM153" i="25"/>
  <c r="BV153" i="25" s="1"/>
  <c r="AJ210" i="25"/>
  <c r="AM210" i="25"/>
  <c r="BV210" i="25" s="1"/>
  <c r="AS46" i="25"/>
  <c r="AX46" i="25" s="1"/>
  <c r="AM178" i="25"/>
  <c r="BV178" i="25" s="1"/>
  <c r="AJ178" i="25"/>
  <c r="AM57" i="25"/>
  <c r="BT57" i="25" s="1"/>
  <c r="AJ57" i="25"/>
  <c r="AJ272" i="25"/>
  <c r="AM272" i="25"/>
  <c r="CD272" i="25" s="1"/>
  <c r="AS23" i="25"/>
  <c r="AX23" i="25" s="1"/>
  <c r="AM56" i="25"/>
  <c r="AJ56" i="25"/>
  <c r="AS58" i="25"/>
  <c r="AX58" i="25" s="1"/>
  <c r="AJ113" i="25"/>
  <c r="AM113" i="25"/>
  <c r="BV113" i="25" s="1"/>
  <c r="AM155" i="25"/>
  <c r="BV155" i="25" s="1"/>
  <c r="AJ155" i="25"/>
  <c r="AJ180" i="25"/>
  <c r="AM180" i="25"/>
  <c r="BV180" i="25" s="1"/>
  <c r="AS90" i="25"/>
  <c r="AX90" i="25" s="1"/>
  <c r="AM81" i="25"/>
  <c r="CD81" i="25" s="1"/>
  <c r="AJ81" i="25"/>
  <c r="AM139" i="25"/>
  <c r="BV139" i="25" s="1"/>
  <c r="AJ139" i="25"/>
  <c r="AS33" i="25"/>
  <c r="AX33" i="25" s="1"/>
  <c r="AM17" i="25"/>
  <c r="CD17" i="25" s="1"/>
  <c r="AJ17" i="25"/>
  <c r="AM264" i="25"/>
  <c r="CD264" i="25" s="1"/>
  <c r="AJ264" i="25"/>
  <c r="AM66" i="25"/>
  <c r="BT66" i="25" s="1"/>
  <c r="AJ66" i="25"/>
  <c r="AM286" i="25"/>
  <c r="CD286" i="25" s="1"/>
  <c r="AJ286" i="25"/>
  <c r="AJ131" i="25"/>
  <c r="AM131" i="25"/>
  <c r="BV131" i="25" s="1"/>
  <c r="AJ143" i="25"/>
  <c r="AM143" i="25"/>
  <c r="BV143" i="25" s="1"/>
  <c r="AM250" i="25"/>
  <c r="AJ250" i="25"/>
  <c r="AJ244" i="25"/>
  <c r="AM244" i="25"/>
  <c r="CD244" i="25" s="1"/>
  <c r="AM78" i="25"/>
  <c r="CD78" i="25" s="1"/>
  <c r="AJ78" i="25"/>
  <c r="AM35" i="25"/>
  <c r="BV35" i="25" s="1"/>
  <c r="AJ35" i="25"/>
  <c r="AM53" i="25"/>
  <c r="CD53" i="25" s="1"/>
  <c r="AJ53" i="25"/>
  <c r="AM74" i="25"/>
  <c r="BV74" i="25" s="1"/>
  <c r="AJ74" i="25"/>
  <c r="AM39" i="25"/>
  <c r="BV39" i="25" s="1"/>
  <c r="AJ39" i="25"/>
  <c r="AJ121" i="25"/>
  <c r="AM121" i="25"/>
  <c r="BV121" i="25" s="1"/>
  <c r="AJ170" i="25"/>
  <c r="AM170" i="25"/>
  <c r="BV170" i="25" s="1"/>
  <c r="AM20" i="25"/>
  <c r="CD20" i="25" s="1"/>
  <c r="AJ20" i="25"/>
  <c r="AM260" i="25"/>
  <c r="CD260" i="25" s="1"/>
  <c r="AJ260" i="25"/>
  <c r="AM22" i="25"/>
  <c r="BV22" i="25" s="1"/>
  <c r="AJ22" i="25"/>
  <c r="AM251" i="25"/>
  <c r="AJ251" i="25"/>
  <c r="AJ222" i="25"/>
  <c r="AM222" i="25"/>
  <c r="AJ196" i="25"/>
  <c r="AM196" i="25"/>
  <c r="BV196" i="25" s="1"/>
  <c r="AM16" i="25"/>
  <c r="BT16" i="25" s="1"/>
  <c r="AJ16" i="25"/>
  <c r="AM194" i="25"/>
  <c r="BV194" i="25" s="1"/>
  <c r="AJ194" i="25"/>
  <c r="AJ313" i="25"/>
  <c r="AM313" i="25"/>
  <c r="AJ166" i="25"/>
  <c r="AM166" i="25"/>
  <c r="BV166" i="25" s="1"/>
  <c r="AM41" i="25"/>
  <c r="BV41" i="25" s="1"/>
  <c r="AJ41" i="25"/>
  <c r="AM252" i="25"/>
  <c r="AJ252" i="25"/>
  <c r="AM182" i="25"/>
  <c r="BV182" i="25" s="1"/>
  <c r="AJ182" i="25"/>
  <c r="AJ273" i="25"/>
  <c r="AM273" i="25"/>
  <c r="CD273" i="25" s="1"/>
  <c r="AM55" i="25"/>
  <c r="BV55" i="25" s="1"/>
  <c r="AJ55" i="25"/>
  <c r="AJ233" i="25"/>
  <c r="AM233" i="25"/>
  <c r="CD233" i="25" s="1"/>
  <c r="AM38" i="25"/>
  <c r="CD38" i="25" s="1"/>
  <c r="AJ38" i="25"/>
  <c r="AS73" i="25"/>
  <c r="AX73" i="25" s="1"/>
  <c r="AS25" i="25"/>
  <c r="AX25" i="25" s="1"/>
  <c r="AS98" i="25"/>
  <c r="AX98" i="25" s="1"/>
  <c r="AJ64" i="25"/>
  <c r="AM64" i="25"/>
  <c r="CD64" i="25" s="1"/>
  <c r="AM245" i="25"/>
  <c r="AJ245" i="25"/>
  <c r="AM228" i="25"/>
  <c r="AJ228" i="25"/>
  <c r="AM295" i="25"/>
  <c r="CD295" i="25" s="1"/>
  <c r="AJ295" i="25"/>
  <c r="AM70" i="25"/>
  <c r="CD70" i="25" s="1"/>
  <c r="AJ70" i="25"/>
  <c r="AS43" i="25"/>
  <c r="AX43" i="25" s="1"/>
  <c r="AM217" i="25"/>
  <c r="CD217" i="25" s="1"/>
  <c r="AJ217" i="25"/>
  <c r="AS45" i="25"/>
  <c r="AX45" i="25" s="1"/>
  <c r="AM290" i="25"/>
  <c r="CD290" i="25" s="1"/>
  <c r="AJ290" i="25"/>
  <c r="AJ186" i="25"/>
  <c r="AM186" i="25"/>
  <c r="BV186" i="25" s="1"/>
  <c r="AJ282" i="25"/>
  <c r="AM282" i="25"/>
  <c r="CD282" i="25" s="1"/>
  <c r="AJ270" i="25"/>
  <c r="AM270" i="25"/>
  <c r="CD270" i="25" s="1"/>
  <c r="AJ51" i="25"/>
  <c r="AM51" i="25"/>
  <c r="CD51" i="25" s="1"/>
  <c r="AJ29" i="25"/>
  <c r="AM29" i="25"/>
  <c r="CD29" i="25" s="1"/>
  <c r="AJ7" i="25"/>
  <c r="AM7" i="25"/>
  <c r="BF7" i="25" s="1"/>
  <c r="AJ184" i="25"/>
  <c r="AM184" i="25"/>
  <c r="BV184" i="25" s="1"/>
  <c r="AJ112" i="25"/>
  <c r="AM112" i="25"/>
  <c r="BV112" i="25" s="1"/>
  <c r="AM158" i="25"/>
  <c r="BV158" i="25" s="1"/>
  <c r="AJ158" i="25"/>
  <c r="AM18" i="25"/>
  <c r="BF18" i="25" s="1"/>
  <c r="AJ18" i="25"/>
  <c r="AM34" i="25"/>
  <c r="BF34" i="25" s="1"/>
  <c r="AJ34" i="25"/>
  <c r="AJ95" i="25"/>
  <c r="AM95" i="25"/>
  <c r="BV95" i="25" s="1"/>
  <c r="AJ276" i="25"/>
  <c r="AM276" i="25"/>
  <c r="CD276" i="25" s="1"/>
  <c r="AJ171" i="25"/>
  <c r="AM171" i="25"/>
  <c r="BV171" i="25" s="1"/>
  <c r="AJ266" i="25"/>
  <c r="AM266" i="25"/>
  <c r="AM200" i="25"/>
  <c r="BV200" i="25" s="1"/>
  <c r="AJ200" i="25"/>
  <c r="AM152" i="25"/>
  <c r="BV152" i="25" s="1"/>
  <c r="AJ152" i="25"/>
  <c r="AJ89" i="25"/>
  <c r="AM89" i="25"/>
  <c r="AJ151" i="25"/>
  <c r="AM151" i="25"/>
  <c r="BV151" i="25" s="1"/>
  <c r="AS16" i="25"/>
  <c r="AX16" i="25" s="1"/>
  <c r="AJ314" i="25"/>
  <c r="AM314" i="25"/>
  <c r="CD314" i="25" s="1"/>
  <c r="AM75" i="25"/>
  <c r="BV75" i="25" s="1"/>
  <c r="AJ75" i="25"/>
  <c r="AJ165" i="25"/>
  <c r="AM165" i="25"/>
  <c r="BV165" i="25" s="1"/>
  <c r="AM150" i="25"/>
  <c r="BV150" i="25" s="1"/>
  <c r="AJ150" i="25"/>
  <c r="AM191" i="25"/>
  <c r="BV191" i="25" s="1"/>
  <c r="AJ191" i="25"/>
  <c r="AM287" i="25"/>
  <c r="CD287" i="25" s="1"/>
  <c r="AJ287" i="25"/>
  <c r="AM291" i="25"/>
  <c r="CD291" i="25" s="1"/>
  <c r="AJ291" i="25"/>
  <c r="AM84" i="25"/>
  <c r="BV84" i="25" s="1"/>
  <c r="AJ84" i="25"/>
  <c r="AM49" i="25"/>
  <c r="CD49" i="25" s="1"/>
  <c r="AJ49" i="25"/>
  <c r="AJ229" i="25"/>
  <c r="AM229" i="25"/>
  <c r="AM160" i="25"/>
  <c r="BV160" i="25" s="1"/>
  <c r="AJ160" i="25"/>
  <c r="AM128" i="25"/>
  <c r="BV128" i="25" s="1"/>
  <c r="AJ128" i="25"/>
  <c r="AJ126" i="25"/>
  <c r="AM126" i="25"/>
  <c r="BV126" i="25" s="1"/>
  <c r="AM241" i="25"/>
  <c r="CD241" i="25" s="1"/>
  <c r="AJ241" i="25"/>
  <c r="AJ28" i="25"/>
  <c r="AM28" i="25"/>
  <c r="BV28" i="25" s="1"/>
  <c r="AM208" i="25"/>
  <c r="BV208" i="25" s="1"/>
  <c r="AJ208" i="25"/>
  <c r="AJ149" i="25"/>
  <c r="AM149" i="25"/>
  <c r="BV149" i="25" s="1"/>
  <c r="AM117" i="25"/>
  <c r="BV117" i="25" s="1"/>
  <c r="AJ117" i="25"/>
  <c r="AS18" i="25"/>
  <c r="AX18" i="25" s="1"/>
  <c r="AJ72" i="25"/>
  <c r="AM72" i="25"/>
  <c r="BV72" i="25" s="1"/>
  <c r="AS34" i="25"/>
  <c r="AX34" i="25" s="1"/>
  <c r="AM71" i="25"/>
  <c r="BV71" i="25" s="1"/>
  <c r="AJ71" i="25"/>
  <c r="AM58" i="25"/>
  <c r="BV58" i="25" s="1"/>
  <c r="AJ58" i="25"/>
  <c r="AJ105" i="25"/>
  <c r="AM105" i="25"/>
  <c r="CD105" i="25" s="1"/>
  <c r="AM97" i="25"/>
  <c r="CD97" i="25" s="1"/>
  <c r="AJ97" i="25"/>
  <c r="AM277" i="25"/>
  <c r="CD277" i="25" s="1"/>
  <c r="AJ277" i="25"/>
  <c r="AJ129" i="25"/>
  <c r="AM129" i="25"/>
  <c r="BV129" i="25" s="1"/>
  <c r="AM92" i="25"/>
  <c r="CD92" i="25" s="1"/>
  <c r="AJ92" i="25"/>
  <c r="AM249" i="25"/>
  <c r="CD249" i="25" s="1"/>
  <c r="AJ249" i="25"/>
  <c r="AM32" i="25"/>
  <c r="BV32" i="25" s="1"/>
  <c r="AJ32" i="25"/>
  <c r="AJ296" i="25"/>
  <c r="AM296" i="25"/>
  <c r="CD296" i="25" s="1"/>
  <c r="AM288" i="25"/>
  <c r="CD288" i="25" s="1"/>
  <c r="AJ288" i="25"/>
  <c r="AJ114" i="25"/>
  <c r="AM114" i="25"/>
  <c r="BV114" i="25" s="1"/>
  <c r="AJ69" i="25"/>
  <c r="AM69" i="25"/>
  <c r="CD69" i="25" s="1"/>
  <c r="AJ188" i="25"/>
  <c r="AM188" i="25"/>
  <c r="BV188" i="25" s="1"/>
  <c r="AJ90" i="25"/>
  <c r="AM90" i="25"/>
  <c r="BV90" i="25" s="1"/>
  <c r="AM9" i="25"/>
  <c r="BV9" i="25" s="1"/>
  <c r="AJ9" i="25"/>
  <c r="AJ234" i="25"/>
  <c r="AM234" i="25"/>
  <c r="CD234" i="25" s="1"/>
  <c r="AJ67" i="25"/>
  <c r="AM67" i="25"/>
  <c r="CD67" i="25" s="1"/>
  <c r="AJ271" i="25"/>
  <c r="AM271" i="25"/>
  <c r="AJ10" i="25"/>
  <c r="AM10" i="25"/>
  <c r="BF10" i="25" s="1"/>
  <c r="AJ279" i="25"/>
  <c r="AM279" i="25"/>
  <c r="CD279" i="25" s="1"/>
  <c r="AJ45" i="25"/>
  <c r="AM45" i="25"/>
  <c r="CD45" i="25" s="1"/>
  <c r="AS66" i="25"/>
  <c r="AX66" i="25" s="1"/>
  <c r="AM303" i="25"/>
  <c r="CD303" i="25" s="1"/>
  <c r="AJ303" i="25"/>
  <c r="AM176" i="25"/>
  <c r="BV176" i="25" s="1"/>
  <c r="AJ176" i="25"/>
  <c r="AJ239" i="25"/>
  <c r="AM239" i="25"/>
  <c r="AJ104" i="25"/>
  <c r="AM104" i="25"/>
  <c r="CD104" i="25" s="1"/>
  <c r="AJ61" i="25"/>
  <c r="AM61" i="25"/>
  <c r="CD61" i="25" s="1"/>
  <c r="AS89" i="25"/>
  <c r="AX89" i="25" s="1"/>
  <c r="AS80" i="25"/>
  <c r="AX80" i="25" s="1"/>
  <c r="AJ258" i="25"/>
  <c r="AM258" i="25"/>
  <c r="CD258" i="25" s="1"/>
  <c r="AM120" i="25"/>
  <c r="BV120" i="25" s="1"/>
  <c r="AJ120" i="25"/>
  <c r="AJ263" i="25"/>
  <c r="AM263" i="25"/>
  <c r="AJ11" i="25"/>
  <c r="AM11" i="25"/>
  <c r="BV11" i="25" s="1"/>
  <c r="AJ115" i="25"/>
  <c r="AM115" i="25"/>
  <c r="BV115" i="25" s="1"/>
  <c r="AS19" i="25"/>
  <c r="AX19" i="25" s="1"/>
  <c r="AJ141" i="25"/>
  <c r="AM141" i="25"/>
  <c r="BV141" i="25" s="1"/>
  <c r="AM168" i="25"/>
  <c r="BV168" i="25" s="1"/>
  <c r="AJ168" i="25"/>
  <c r="AM278" i="25"/>
  <c r="CD278" i="25" s="1"/>
  <c r="AJ278" i="25"/>
  <c r="AJ302" i="25"/>
  <c r="AM302" i="25"/>
  <c r="CD302" i="25" s="1"/>
  <c r="AJ218" i="25"/>
  <c r="AM218" i="25"/>
  <c r="AJ65" i="25"/>
  <c r="AM65" i="25"/>
  <c r="BV65" i="25" s="1"/>
  <c r="AM122" i="25"/>
  <c r="BV122" i="25" s="1"/>
  <c r="AJ122" i="25"/>
  <c r="AJ285" i="25"/>
  <c r="AM285" i="25"/>
  <c r="AM144" i="25"/>
  <c r="BV144" i="25" s="1"/>
  <c r="AJ144" i="25"/>
  <c r="AM221" i="25"/>
  <c r="AJ221" i="25"/>
  <c r="AJ297" i="25"/>
  <c r="AM297" i="25"/>
  <c r="AJ181" i="25"/>
  <c r="AM181" i="25"/>
  <c r="BV181" i="25" s="1"/>
  <c r="AJ240" i="25"/>
  <c r="AM240" i="25"/>
  <c r="CD240" i="25" s="1"/>
  <c r="AM43" i="25"/>
  <c r="BV43" i="25" s="1"/>
  <c r="AJ43" i="25"/>
  <c r="AM101" i="25"/>
  <c r="CD101" i="25" s="1"/>
  <c r="AJ101" i="25"/>
  <c r="AJ223" i="25"/>
  <c r="AM223" i="25"/>
  <c r="AJ100" i="25"/>
  <c r="AM100" i="25"/>
  <c r="CD100" i="25" s="1"/>
  <c r="AS72" i="25"/>
  <c r="AX72" i="25" s="1"/>
  <c r="AJ133" i="25"/>
  <c r="AM133" i="25"/>
  <c r="BV133" i="25" s="1"/>
  <c r="AJ198" i="25"/>
  <c r="AM198" i="25"/>
  <c r="BV198" i="25" s="1"/>
  <c r="AJ177" i="25"/>
  <c r="AM177" i="25"/>
  <c r="BV177" i="25" s="1"/>
  <c r="AJ227" i="25"/>
  <c r="AM227" i="25"/>
  <c r="CD227" i="25" s="1"/>
  <c r="AM25" i="25"/>
  <c r="BV25" i="25" s="1"/>
  <c r="AJ25" i="25"/>
  <c r="AJ62" i="25"/>
  <c r="AM62" i="25"/>
  <c r="BV62" i="25" s="1"/>
  <c r="AM37" i="25"/>
  <c r="CD37" i="25" s="1"/>
  <c r="AJ37" i="25"/>
  <c r="AM289" i="25"/>
  <c r="CD289" i="25" s="1"/>
  <c r="AJ289" i="25"/>
  <c r="AM261" i="25"/>
  <c r="CD261" i="25" s="1"/>
  <c r="AJ261" i="25"/>
  <c r="AJ185" i="25"/>
  <c r="AM185" i="25"/>
  <c r="BV185" i="25" s="1"/>
  <c r="AJ119" i="25"/>
  <c r="AM119" i="25"/>
  <c r="BV119" i="25" s="1"/>
  <c r="AM24" i="25"/>
  <c r="BV24" i="25" s="1"/>
  <c r="AJ24" i="25"/>
  <c r="AJ161" i="25"/>
  <c r="AM161" i="25"/>
  <c r="BV161" i="25" s="1"/>
  <c r="AJ280" i="25"/>
  <c r="AM280" i="25"/>
  <c r="CD280" i="25" s="1"/>
  <c r="AM268" i="25"/>
  <c r="AJ268" i="25"/>
  <c r="AJ6" i="25"/>
  <c r="AM6" i="25"/>
  <c r="CD6" i="25" s="1"/>
  <c r="AJ308" i="25"/>
  <c r="AM308" i="25"/>
  <c r="CD308" i="25" s="1"/>
  <c r="AJ12" i="25"/>
  <c r="AM12" i="25"/>
  <c r="CD12" i="25" s="1"/>
  <c r="AS50" i="25"/>
  <c r="AX50" i="25" s="1"/>
  <c r="AS65" i="25"/>
  <c r="AX65" i="25" s="1"/>
  <c r="AM253" i="25"/>
  <c r="CD253" i="25" s="1"/>
  <c r="AJ253" i="25"/>
  <c r="AS75" i="25"/>
  <c r="AX75" i="25" s="1"/>
  <c r="AS84" i="25"/>
  <c r="AX84" i="25" s="1"/>
  <c r="AM79" i="25"/>
  <c r="CD79" i="25" s="1"/>
  <c r="AJ79" i="25"/>
  <c r="AM142" i="25"/>
  <c r="BV142" i="25" s="1"/>
  <c r="AJ142" i="25"/>
  <c r="AM13" i="25"/>
  <c r="BV13" i="25" s="1"/>
  <c r="AJ13" i="25"/>
  <c r="AS39" i="25"/>
  <c r="AX39" i="25" s="1"/>
  <c r="AJ148" i="25"/>
  <c r="AM148" i="25"/>
  <c r="BV148" i="25" s="1"/>
  <c r="AM36" i="25"/>
  <c r="CD36" i="25" s="1"/>
  <c r="AJ36" i="25"/>
  <c r="AJ274" i="25"/>
  <c r="AM274" i="25"/>
  <c r="CD274" i="25" s="1"/>
  <c r="AM76" i="25"/>
  <c r="CD76" i="25" s="1"/>
  <c r="AJ76" i="25"/>
  <c r="AJ267" i="25"/>
  <c r="AM267" i="25"/>
  <c r="CD267" i="25" s="1"/>
  <c r="AJ195" i="25"/>
  <c r="AM195" i="25"/>
  <c r="BV195" i="25" s="1"/>
  <c r="AJ202" i="25"/>
  <c r="AM202" i="25"/>
  <c r="BV202" i="25" s="1"/>
  <c r="AM130" i="25"/>
  <c r="BV130" i="25" s="1"/>
  <c r="AJ130" i="25"/>
  <c r="AM52" i="25"/>
  <c r="AJ52" i="25"/>
  <c r="AJ179" i="25"/>
  <c r="AM179" i="25"/>
  <c r="BV179" i="25" s="1"/>
  <c r="AJ145" i="25"/>
  <c r="AM145" i="25"/>
  <c r="BV145" i="25" s="1"/>
  <c r="AM46" i="25"/>
  <c r="BV46" i="25" s="1"/>
  <c r="AJ46" i="25"/>
  <c r="AJ183" i="25"/>
  <c r="AM183" i="25"/>
  <c r="BV183" i="25" s="1"/>
  <c r="AJ47" i="25"/>
  <c r="AM47" i="25"/>
  <c r="CD47" i="25" s="1"/>
  <c r="AM19" i="25"/>
  <c r="BF19" i="25" s="1"/>
  <c r="AJ19" i="25"/>
  <c r="AM23" i="25"/>
  <c r="BT23" i="25" s="1"/>
  <c r="AJ23" i="25"/>
  <c r="AJ197" i="25"/>
  <c r="AM197" i="25"/>
  <c r="BV197" i="25" s="1"/>
  <c r="AJ140" i="25"/>
  <c r="AM140" i="25"/>
  <c r="BV140" i="25" s="1"/>
  <c r="AM154" i="25"/>
  <c r="BV154" i="25" s="1"/>
  <c r="AJ154" i="25"/>
  <c r="AJ281" i="25"/>
  <c r="AM281" i="25"/>
  <c r="CD281" i="25" s="1"/>
  <c r="AM187" i="25"/>
  <c r="BV187" i="25" s="1"/>
  <c r="AJ187" i="25"/>
  <c r="AJ247" i="25"/>
  <c r="AM247" i="25"/>
  <c r="CD247" i="25" s="1"/>
  <c r="AS95" i="25"/>
  <c r="AX95" i="25" s="1"/>
  <c r="AJ169" i="25"/>
  <c r="AM169" i="25"/>
  <c r="BV169" i="25" s="1"/>
  <c r="AM137" i="25"/>
  <c r="BV137" i="25" s="1"/>
  <c r="AJ137" i="25"/>
  <c r="AS99" i="25"/>
  <c r="AX99" i="25" s="1"/>
  <c r="AM60" i="25"/>
  <c r="BV60" i="25" s="1"/>
  <c r="AJ60" i="25"/>
  <c r="AJ220" i="25"/>
  <c r="AM220" i="25"/>
  <c r="AM96" i="25"/>
  <c r="CD96" i="25" s="1"/>
  <c r="AJ96" i="25"/>
  <c r="AJ246" i="25"/>
  <c r="AM246" i="25"/>
  <c r="CD246" i="25" s="1"/>
  <c r="AM54" i="25"/>
  <c r="CD54" i="25" s="1"/>
  <c r="AJ54" i="25"/>
  <c r="AJ83" i="25"/>
  <c r="AM83" i="25"/>
  <c r="CD83" i="25" s="1"/>
  <c r="AJ307" i="25"/>
  <c r="AM307" i="25"/>
  <c r="CD307" i="25" s="1"/>
  <c r="AJ236" i="25"/>
  <c r="AM236" i="25"/>
  <c r="CD236" i="25" s="1"/>
  <c r="AM192" i="25"/>
  <c r="BV192" i="25" s="1"/>
  <c r="AJ192" i="25"/>
  <c r="AJ305" i="25"/>
  <c r="AM305" i="25"/>
  <c r="CD305" i="25" s="1"/>
  <c r="AM203" i="25"/>
  <c r="BV203" i="25" s="1"/>
  <c r="AJ203" i="25"/>
  <c r="AJ284" i="25"/>
  <c r="AM284" i="25"/>
  <c r="CD284" i="25" s="1"/>
  <c r="AJ256" i="25"/>
  <c r="AM256" i="25"/>
  <c r="CD256" i="25" s="1"/>
  <c r="AJ125" i="25"/>
  <c r="AM125" i="25"/>
  <c r="BV125" i="25" s="1"/>
  <c r="AJ21" i="25"/>
  <c r="AM21" i="25"/>
  <c r="CD21" i="25" s="1"/>
  <c r="AJ306" i="25"/>
  <c r="AM306" i="25"/>
  <c r="CD306" i="25" s="1"/>
  <c r="AJ40" i="25"/>
  <c r="AM40" i="25"/>
  <c r="AM283" i="25"/>
  <c r="CD283" i="25" s="1"/>
  <c r="AJ283" i="25"/>
  <c r="AS74" i="25"/>
  <c r="AX74" i="25" s="1"/>
  <c r="AJ167" i="25"/>
  <c r="AM167" i="25"/>
  <c r="BV167" i="25" s="1"/>
  <c r="AM86" i="25"/>
  <c r="CD86" i="25" s="1"/>
  <c r="AJ86" i="25"/>
  <c r="AJ316" i="25"/>
  <c r="AM316" i="25"/>
  <c r="AM8" i="25"/>
  <c r="BV8" i="25" s="1"/>
  <c r="AJ8" i="25"/>
  <c r="AM201" i="25"/>
  <c r="BV201" i="25" s="1"/>
  <c r="AJ201" i="25"/>
  <c r="AJ235" i="25"/>
  <c r="AM235" i="25"/>
  <c r="AM118" i="25"/>
  <c r="BV118" i="25" s="1"/>
  <c r="AJ118" i="25"/>
  <c r="AM207" i="25"/>
  <c r="BV207" i="25" s="1"/>
  <c r="AJ207" i="25"/>
  <c r="AJ226" i="25"/>
  <c r="AM226" i="25"/>
  <c r="AJ48" i="25"/>
  <c r="AM48" i="25"/>
  <c r="CD48" i="25" s="1"/>
  <c r="AJ209" i="25"/>
  <c r="AM209" i="25"/>
  <c r="BV209" i="25" s="1"/>
  <c r="AJ243" i="25"/>
  <c r="AM243" i="25"/>
  <c r="CD243" i="25" s="1"/>
  <c r="AM230" i="25"/>
  <c r="CD230" i="25" s="1"/>
  <c r="AJ230" i="25"/>
  <c r="AM88" i="25"/>
  <c r="BV88" i="25" s="1"/>
  <c r="AJ88" i="25"/>
  <c r="AM199" i="25"/>
  <c r="BV199" i="25" s="1"/>
  <c r="AJ199" i="25"/>
  <c r="AM30" i="25"/>
  <c r="BV30" i="25" s="1"/>
  <c r="AJ30" i="25"/>
  <c r="AJ248" i="25"/>
  <c r="AM248" i="25"/>
  <c r="AM68" i="25"/>
  <c r="AJ68" i="25"/>
  <c r="AM82" i="25"/>
  <c r="CD82" i="25" s="1"/>
  <c r="AJ82" i="25"/>
  <c r="AM73" i="25"/>
  <c r="CD73" i="25" s="1"/>
  <c r="AJ73" i="25"/>
  <c r="AM190" i="25"/>
  <c r="BV190" i="25" s="1"/>
  <c r="AJ190" i="25"/>
  <c r="AJ238" i="25"/>
  <c r="AM238" i="25"/>
  <c r="CD238" i="25" s="1"/>
  <c r="AJ172" i="25"/>
  <c r="AM172" i="25"/>
  <c r="BV172" i="25" s="1"/>
  <c r="AM298" i="25"/>
  <c r="CD298" i="25" s="1"/>
  <c r="AJ298" i="25"/>
  <c r="AJ163" i="25"/>
  <c r="AM163" i="25"/>
  <c r="BV163" i="25" s="1"/>
  <c r="AM255" i="25"/>
  <c r="CD255" i="25" s="1"/>
  <c r="AJ255" i="25"/>
  <c r="AM134" i="25"/>
  <c r="BV134" i="25" s="1"/>
  <c r="AJ134" i="25"/>
  <c r="AJ299" i="25"/>
  <c r="AM299" i="25"/>
  <c r="CD299" i="25" s="1"/>
  <c r="AJ175" i="25"/>
  <c r="AM175" i="25"/>
  <c r="BV175" i="25" s="1"/>
  <c r="AM225" i="25"/>
  <c r="AJ225" i="25"/>
  <c r="AM237" i="25"/>
  <c r="AJ237" i="25"/>
  <c r="AJ205" i="25"/>
  <c r="AM205" i="25"/>
  <c r="BV205" i="25" s="1"/>
  <c r="AM147" i="25"/>
  <c r="BV147" i="25" s="1"/>
  <c r="AJ147" i="25"/>
  <c r="AS55" i="25"/>
  <c r="AX55" i="25" s="1"/>
  <c r="AS32" i="25"/>
  <c r="AX32" i="25" s="1"/>
  <c r="AJ262" i="25"/>
  <c r="AM262" i="25"/>
  <c r="AS7" i="25"/>
  <c r="AX7" i="25" s="1"/>
  <c r="AM146" i="25"/>
  <c r="BV146" i="25" s="1"/>
  <c r="AJ146" i="25"/>
  <c r="AM77" i="25"/>
  <c r="BF77" i="25" s="1"/>
  <c r="AJ77" i="25"/>
  <c r="AM63" i="25"/>
  <c r="AJ63" i="25"/>
  <c r="AJ27" i="25"/>
  <c r="AM27" i="25"/>
  <c r="BV27" i="25" s="1"/>
  <c r="AJ80" i="25"/>
  <c r="AM80" i="25"/>
  <c r="BV80" i="25" s="1"/>
  <c r="AM301" i="25"/>
  <c r="CD301" i="25" s="1"/>
  <c r="AJ301" i="25"/>
  <c r="AJ231" i="25"/>
  <c r="AM231" i="25"/>
  <c r="AM50" i="25"/>
  <c r="BV50" i="25" s="1"/>
  <c r="AJ50" i="25"/>
  <c r="AJ304" i="25"/>
  <c r="AM304" i="25"/>
  <c r="CD304" i="25" s="1"/>
  <c r="AM33" i="25"/>
  <c r="BV33" i="25" s="1"/>
  <c r="AJ33" i="25"/>
  <c r="AM124" i="25"/>
  <c r="BV124" i="25" s="1"/>
  <c r="AJ124" i="25"/>
  <c r="AM300" i="25"/>
  <c r="CD300" i="25" s="1"/>
  <c r="AJ300" i="25"/>
  <c r="AM232" i="25"/>
  <c r="AJ232" i="25"/>
  <c r="AM123" i="25"/>
  <c r="BV123" i="25" s="1"/>
  <c r="AJ123" i="25"/>
  <c r="AJ164" i="25"/>
  <c r="AM164" i="25"/>
  <c r="BV164" i="25" s="1"/>
  <c r="AM219" i="25"/>
  <c r="AJ219" i="25"/>
  <c r="AJ91" i="25"/>
  <c r="AM91" i="25"/>
  <c r="AJ312" i="25"/>
  <c r="AM312" i="25"/>
  <c r="CD312" i="25" s="1"/>
  <c r="AJ193" i="25"/>
  <c r="AM193" i="25"/>
  <c r="BV193" i="25" s="1"/>
  <c r="AS85" i="25"/>
  <c r="AX85" i="25" s="1"/>
  <c r="AS77" i="25"/>
  <c r="AX77" i="25" s="1"/>
  <c r="AJ206" i="25"/>
  <c r="AM206" i="25"/>
  <c r="BV206" i="25" s="1"/>
  <c r="AM294" i="25"/>
  <c r="CD294" i="25" s="1"/>
  <c r="AJ294" i="25"/>
  <c r="AM292" i="25"/>
  <c r="CD292" i="25" s="1"/>
  <c r="AJ292" i="25"/>
  <c r="AM42" i="25"/>
  <c r="CD42" i="25" s="1"/>
  <c r="AJ42" i="25"/>
  <c r="AJ44" i="25"/>
  <c r="AM44" i="25"/>
  <c r="CD44" i="25" s="1"/>
  <c r="AM94" i="25"/>
  <c r="CD94" i="25" s="1"/>
  <c r="AJ94" i="25"/>
  <c r="AM315" i="25"/>
  <c r="AJ315" i="25"/>
  <c r="AJ111" i="25"/>
  <c r="AM111" i="25"/>
  <c r="BV111" i="25" s="1"/>
  <c r="AM204" i="25"/>
  <c r="BV204" i="25" s="1"/>
  <c r="AJ204" i="25"/>
  <c r="AJ132" i="25"/>
  <c r="AM132" i="25"/>
  <c r="BV132" i="25" s="1"/>
  <c r="AK74" i="24"/>
  <c r="AK83" i="24"/>
  <c r="AT10" i="24"/>
  <c r="BA10" i="24" s="1"/>
  <c r="AT36" i="24"/>
  <c r="BA36" i="24" s="1"/>
  <c r="AT78" i="24"/>
  <c r="BA78" i="24" s="1"/>
  <c r="AT95" i="24"/>
  <c r="BA95" i="24" s="1"/>
  <c r="AT104" i="24"/>
  <c r="BA104" i="24" s="1"/>
  <c r="AT27" i="24"/>
  <c r="BA27" i="24" s="1"/>
  <c r="AK292" i="24"/>
  <c r="AK315" i="24"/>
  <c r="AK245" i="24"/>
  <c r="AK304" i="24"/>
  <c r="AK180" i="24"/>
  <c r="AN180" i="24"/>
  <c r="AK197" i="24"/>
  <c r="AN197" i="24"/>
  <c r="BH197" i="24" s="1"/>
  <c r="AN175" i="24"/>
  <c r="CD175" i="24" s="1"/>
  <c r="AK175" i="24"/>
  <c r="AK178" i="24"/>
  <c r="AN178" i="24"/>
  <c r="AK127" i="24"/>
  <c r="AN127" i="24"/>
  <c r="BT127" i="24" s="1"/>
  <c r="AK200" i="24"/>
  <c r="AN200" i="24"/>
  <c r="AK124" i="24"/>
  <c r="AN124" i="24"/>
  <c r="AK138" i="24"/>
  <c r="AN138" i="24"/>
  <c r="AK129" i="24"/>
  <c r="AN129" i="24"/>
  <c r="AN135" i="24"/>
  <c r="AK135" i="24"/>
  <c r="AK173" i="24"/>
  <c r="AN173" i="24"/>
  <c r="AK118" i="24"/>
  <c r="AN118" i="24"/>
  <c r="AN164" i="24"/>
  <c r="AK164" i="24"/>
  <c r="AK121" i="24"/>
  <c r="AN121" i="24"/>
  <c r="BT121" i="24" s="1"/>
  <c r="AK202" i="24"/>
  <c r="AN202" i="24"/>
  <c r="AN300" i="24"/>
  <c r="AN111" i="24"/>
  <c r="AX111" i="24" s="1"/>
  <c r="AK111" i="24"/>
  <c r="AK160" i="24"/>
  <c r="AN160" i="24"/>
  <c r="AN126" i="24"/>
  <c r="AK126" i="24"/>
  <c r="AN140" i="24"/>
  <c r="AK140" i="24"/>
  <c r="AN292" i="24"/>
  <c r="AK316" i="24"/>
  <c r="AK230" i="24"/>
  <c r="AN316" i="24"/>
  <c r="AN245" i="24"/>
  <c r="CD245" i="24" s="1"/>
  <c r="AN315" i="24"/>
  <c r="CD315" i="24" s="1"/>
  <c r="AN222" i="24"/>
  <c r="AK222" i="24"/>
  <c r="AK224" i="24"/>
  <c r="AN224" i="24"/>
  <c r="AN216" i="24"/>
  <c r="AK216" i="24"/>
  <c r="AN247" i="24"/>
  <c r="AK247" i="24"/>
  <c r="AK264" i="24"/>
  <c r="AN264" i="24"/>
  <c r="AK285" i="24"/>
  <c r="AN285" i="24"/>
  <c r="CD285" i="24" s="1"/>
  <c r="AK221" i="24"/>
  <c r="AN221" i="24"/>
  <c r="AK250" i="24"/>
  <c r="AN250" i="24"/>
  <c r="CD250" i="24" s="1"/>
  <c r="AK307" i="24"/>
  <c r="AN307" i="24"/>
  <c r="CD307" i="24" s="1"/>
  <c r="AK235" i="24"/>
  <c r="AN235" i="24"/>
  <c r="AN223" i="24"/>
  <c r="AK223" i="24"/>
  <c r="AN302" i="24"/>
  <c r="CD302" i="24" s="1"/>
  <c r="AK302" i="24"/>
  <c r="AK266" i="24"/>
  <c r="AN266" i="24"/>
  <c r="AN274" i="24"/>
  <c r="CD274" i="24" s="1"/>
  <c r="AK274" i="24"/>
  <c r="AK275" i="24"/>
  <c r="AN275" i="24"/>
  <c r="CD275" i="24" s="1"/>
  <c r="AN297" i="24"/>
  <c r="AK297" i="24"/>
  <c r="AN279" i="24"/>
  <c r="CD279" i="24" s="1"/>
  <c r="AK279" i="24"/>
  <c r="AN259" i="24"/>
  <c r="CD259" i="24" s="1"/>
  <c r="AK259" i="24"/>
  <c r="AK236" i="24"/>
  <c r="AN236" i="24"/>
  <c r="CD236" i="24" s="1"/>
  <c r="AN288" i="24"/>
  <c r="AK288" i="24"/>
  <c r="AK256" i="24"/>
  <c r="AN256" i="24"/>
  <c r="CD256" i="24" s="1"/>
  <c r="AK258" i="24"/>
  <c r="AN258" i="24"/>
  <c r="AK233" i="24"/>
  <c r="AN233" i="24"/>
  <c r="CD233" i="24" s="1"/>
  <c r="AN314" i="24"/>
  <c r="CD314" i="24" s="1"/>
  <c r="AK273" i="24"/>
  <c r="AN273" i="24"/>
  <c r="CD273" i="24" s="1"/>
  <c r="AN243" i="24"/>
  <c r="AK243" i="24"/>
  <c r="AN220" i="24"/>
  <c r="AK220" i="24"/>
  <c r="AN228" i="24"/>
  <c r="AK228" i="24"/>
  <c r="AK229" i="24"/>
  <c r="AN229" i="24"/>
  <c r="AK310" i="24"/>
  <c r="AN310" i="24"/>
  <c r="AN287" i="24"/>
  <c r="CD287" i="24" s="1"/>
  <c r="AK287" i="24"/>
  <c r="AN218" i="24"/>
  <c r="AK218" i="24"/>
  <c r="AK294" i="24"/>
  <c r="AN294" i="24"/>
  <c r="CD294" i="24" s="1"/>
  <c r="AK271" i="24"/>
  <c r="AN271" i="24"/>
  <c r="AK227" i="24"/>
  <c r="AN227" i="24"/>
  <c r="CD227" i="24" s="1"/>
  <c r="AN251" i="24"/>
  <c r="CD251" i="24" s="1"/>
  <c r="AK251" i="24"/>
  <c r="AN293" i="24"/>
  <c r="CD293" i="24" s="1"/>
  <c r="AK293" i="24"/>
  <c r="AK241" i="24"/>
  <c r="AN241" i="24"/>
  <c r="AK219" i="24"/>
  <c r="AN219" i="24"/>
  <c r="CD219" i="24" s="1"/>
  <c r="AK234" i="24"/>
  <c r="AN234" i="24"/>
  <c r="CD234" i="24" s="1"/>
  <c r="AK254" i="24"/>
  <c r="AN254" i="24"/>
  <c r="AN286" i="24"/>
  <c r="CD286" i="24" s="1"/>
  <c r="AK286" i="24"/>
  <c r="AK300" i="24"/>
  <c r="AK309" i="24"/>
  <c r="AN309" i="24"/>
  <c r="CD309" i="24" s="1"/>
  <c r="AK303" i="24"/>
  <c r="AN303" i="24"/>
  <c r="CD303" i="24" s="1"/>
  <c r="AN301" i="24"/>
  <c r="AK301" i="24"/>
  <c r="AN268" i="24"/>
  <c r="CD268" i="24" s="1"/>
  <c r="AK268" i="24"/>
  <c r="AK239" i="24"/>
  <c r="AN239" i="24"/>
  <c r="AK240" i="24"/>
  <c r="AN240" i="24"/>
  <c r="CD240" i="24" s="1"/>
  <c r="AN304" i="24"/>
  <c r="CD304" i="24" s="1"/>
  <c r="AK314" i="24"/>
  <c r="AN272" i="24"/>
  <c r="AK272" i="24"/>
  <c r="AN230" i="24"/>
  <c r="CD230" i="24" s="1"/>
  <c r="BQ106" i="19"/>
  <c r="BV143" i="24" l="1"/>
  <c r="CD143" i="24"/>
  <c r="BV158" i="24"/>
  <c r="CD158" i="24"/>
  <c r="AK306" i="24"/>
  <c r="BV91" i="25"/>
  <c r="CD91" i="25"/>
  <c r="BV162" i="25"/>
  <c r="CD162" i="25"/>
  <c r="BV56" i="25"/>
  <c r="CD56" i="25"/>
  <c r="BV68" i="25"/>
  <c r="CD68" i="25"/>
  <c r="AW144" i="25"/>
  <c r="AX191" i="25"/>
  <c r="BV31" i="25"/>
  <c r="CD31" i="25"/>
  <c r="BV52" i="25"/>
  <c r="CD52" i="25"/>
  <c r="BV40" i="25"/>
  <c r="CD40" i="25"/>
  <c r="BV63" i="25"/>
  <c r="CD63" i="25"/>
  <c r="AX181" i="25"/>
  <c r="AW114" i="25"/>
  <c r="AX184" i="25"/>
  <c r="AW127" i="25"/>
  <c r="AX135" i="25"/>
  <c r="AX146" i="25"/>
  <c r="AW118" i="25"/>
  <c r="BT89" i="25"/>
  <c r="CD89" i="25"/>
  <c r="AW160" i="25"/>
  <c r="AW134" i="25"/>
  <c r="AW138" i="25"/>
  <c r="AW172" i="25"/>
  <c r="AX112" i="25"/>
  <c r="AW143" i="25"/>
  <c r="AW115" i="25"/>
  <c r="AW145" i="25"/>
  <c r="AW186" i="25"/>
  <c r="BV135" i="25"/>
  <c r="CD135" i="25"/>
  <c r="AX164" i="25"/>
  <c r="AW116" i="25"/>
  <c r="AX190" i="25"/>
  <c r="AW157" i="25"/>
  <c r="AX168" i="25"/>
  <c r="AW177" i="25"/>
  <c r="AX129" i="25"/>
  <c r="AX179" i="25"/>
  <c r="AW165" i="25"/>
  <c r="AW173" i="25"/>
  <c r="AX207" i="25"/>
  <c r="AW167" i="25"/>
  <c r="AW155" i="25"/>
  <c r="AW141" i="25"/>
  <c r="AX148" i="25"/>
  <c r="AX205" i="25"/>
  <c r="AX178" i="25"/>
  <c r="AX208" i="25"/>
  <c r="AW110" i="25"/>
  <c r="AW147" i="25"/>
  <c r="AW111" i="25"/>
  <c r="AW152" i="25"/>
  <c r="AX121" i="25"/>
  <c r="AW192" i="25"/>
  <c r="AX153" i="25"/>
  <c r="AW174" i="25"/>
  <c r="AW188" i="25"/>
  <c r="AX166" i="25"/>
  <c r="AX131" i="25"/>
  <c r="AW203" i="25"/>
  <c r="AX201" i="25"/>
  <c r="AW113" i="25"/>
  <c r="AX185" i="25"/>
  <c r="BV100" i="25"/>
  <c r="AW139" i="25"/>
  <c r="AW196" i="25"/>
  <c r="AX123" i="25"/>
  <c r="BV79" i="25"/>
  <c r="BV34" i="25"/>
  <c r="BV64" i="25"/>
  <c r="BV104" i="25"/>
  <c r="BV20" i="25"/>
  <c r="AX206" i="25"/>
  <c r="AW209" i="25"/>
  <c r="AX198" i="25"/>
  <c r="BV51" i="25"/>
  <c r="BV7" i="25"/>
  <c r="AW204" i="25"/>
  <c r="AX120" i="25"/>
  <c r="AW194" i="25"/>
  <c r="BV48" i="25"/>
  <c r="AW133" i="25"/>
  <c r="AW158" i="25"/>
  <c r="AW140" i="25"/>
  <c r="AW117" i="25"/>
  <c r="AW193" i="25"/>
  <c r="AW142" i="25"/>
  <c r="AW171" i="25"/>
  <c r="AW136" i="25"/>
  <c r="AW187" i="25"/>
  <c r="AX156" i="25"/>
  <c r="AX169" i="25"/>
  <c r="AX163" i="25"/>
  <c r="BV70" i="25"/>
  <c r="BV83" i="25"/>
  <c r="BV105" i="25"/>
  <c r="BV87" i="25"/>
  <c r="AW151" i="25"/>
  <c r="BV53" i="25"/>
  <c r="AW175" i="25"/>
  <c r="AW150" i="25"/>
  <c r="BV94" i="25"/>
  <c r="BV96" i="25"/>
  <c r="BV54" i="25"/>
  <c r="BV26" i="25"/>
  <c r="BV67" i="25"/>
  <c r="BV10" i="25"/>
  <c r="BV14" i="25"/>
  <c r="BV17" i="25"/>
  <c r="BV57" i="25"/>
  <c r="AW159" i="25"/>
  <c r="AW119" i="25"/>
  <c r="AW200" i="25"/>
  <c r="AW180" i="25"/>
  <c r="AW154" i="25"/>
  <c r="AW182" i="25"/>
  <c r="AW183" i="25"/>
  <c r="AW130" i="25"/>
  <c r="AW199" i="25"/>
  <c r="AW125" i="25"/>
  <c r="AW197" i="25"/>
  <c r="AW195" i="25"/>
  <c r="AW176" i="25"/>
  <c r="AW126" i="25"/>
  <c r="AW189" i="25"/>
  <c r="AW170" i="25"/>
  <c r="AW122" i="25"/>
  <c r="AW210" i="25"/>
  <c r="AW162" i="25"/>
  <c r="AW128" i="25"/>
  <c r="AW149" i="25"/>
  <c r="AW161" i="25"/>
  <c r="AW132" i="25"/>
  <c r="AW124" i="25"/>
  <c r="AW137" i="25"/>
  <c r="BV101" i="25"/>
  <c r="BV21" i="25"/>
  <c r="BV92" i="25"/>
  <c r="BV49" i="25"/>
  <c r="BV45" i="25"/>
  <c r="BV93" i="25"/>
  <c r="BV19" i="25"/>
  <c r="BV85" i="25"/>
  <c r="BV103" i="25"/>
  <c r="BV102" i="25"/>
  <c r="BV38" i="25"/>
  <c r="BV77" i="25"/>
  <c r="BV61" i="25"/>
  <c r="BV47" i="25"/>
  <c r="BV29" i="25"/>
  <c r="BV89" i="25"/>
  <c r="BV37" i="25"/>
  <c r="BV78" i="25"/>
  <c r="BV42" i="25"/>
  <c r="BV76" i="25"/>
  <c r="BV6" i="25"/>
  <c r="BV18" i="25"/>
  <c r="BV99" i="25"/>
  <c r="BV86" i="25"/>
  <c r="BV44" i="25"/>
  <c r="BV97" i="25"/>
  <c r="BV12" i="25"/>
  <c r="BV81" i="25"/>
  <c r="BV173" i="25"/>
  <c r="BV73" i="25"/>
  <c r="BV36" i="25"/>
  <c r="BV16" i="25"/>
  <c r="BV23" i="25"/>
  <c r="BV69" i="25"/>
  <c r="BV59" i="25"/>
  <c r="BV82" i="25"/>
  <c r="BV66" i="25"/>
  <c r="BV151" i="24"/>
  <c r="CD206" i="25"/>
  <c r="BF206" i="25"/>
  <c r="BT206" i="25"/>
  <c r="BG206" i="25"/>
  <c r="BH206" i="25"/>
  <c r="CD193" i="25"/>
  <c r="BG193" i="25"/>
  <c r="BH193" i="25"/>
  <c r="BF193" i="25"/>
  <c r="BT193" i="25"/>
  <c r="CD164" i="25"/>
  <c r="BH164" i="25"/>
  <c r="BG164" i="25"/>
  <c r="BT164" i="25"/>
  <c r="BF164" i="25"/>
  <c r="CD147" i="25"/>
  <c r="BF147" i="25"/>
  <c r="BG147" i="25"/>
  <c r="BT147" i="25"/>
  <c r="BH147" i="25"/>
  <c r="CD134" i="25"/>
  <c r="BG134" i="25"/>
  <c r="BT134" i="25"/>
  <c r="BH134" i="25"/>
  <c r="BF134" i="25"/>
  <c r="CD190" i="25"/>
  <c r="BF190" i="25"/>
  <c r="BT190" i="25"/>
  <c r="BG190" i="25"/>
  <c r="BH190" i="25"/>
  <c r="CD199" i="25"/>
  <c r="BF199" i="25"/>
  <c r="BG199" i="25"/>
  <c r="BT199" i="25"/>
  <c r="BH199" i="25"/>
  <c r="BF118" i="25"/>
  <c r="BT118" i="25"/>
  <c r="BG118" i="25"/>
  <c r="BH118" i="25"/>
  <c r="CD201" i="25"/>
  <c r="BT201" i="25"/>
  <c r="BF201" i="25"/>
  <c r="BG201" i="25"/>
  <c r="BH201" i="25"/>
  <c r="BG137" i="25"/>
  <c r="BT137" i="25"/>
  <c r="BF137" i="25"/>
  <c r="BH137" i="25"/>
  <c r="CD140" i="25"/>
  <c r="BG140" i="25"/>
  <c r="BT140" i="25"/>
  <c r="BH140" i="25"/>
  <c r="BF140" i="25"/>
  <c r="CD179" i="25"/>
  <c r="BF179" i="25"/>
  <c r="BT179" i="25"/>
  <c r="BG179" i="25"/>
  <c r="BH179" i="25"/>
  <c r="CD195" i="25"/>
  <c r="BH195" i="25"/>
  <c r="BF195" i="25"/>
  <c r="BG195" i="25"/>
  <c r="BT195" i="25"/>
  <c r="CD142" i="25"/>
  <c r="BF142" i="25"/>
  <c r="BT142" i="25"/>
  <c r="BG142" i="25"/>
  <c r="BH142" i="25"/>
  <c r="CD181" i="25"/>
  <c r="BG181" i="25"/>
  <c r="BT181" i="25"/>
  <c r="BH181" i="25"/>
  <c r="BF181" i="25"/>
  <c r="BF120" i="25"/>
  <c r="BH120" i="25"/>
  <c r="BG120" i="25"/>
  <c r="BT120" i="25"/>
  <c r="CD176" i="25"/>
  <c r="BG176" i="25"/>
  <c r="BH176" i="25"/>
  <c r="BF176" i="25"/>
  <c r="BT176" i="25"/>
  <c r="CD188" i="25"/>
  <c r="BF188" i="25"/>
  <c r="BH188" i="25"/>
  <c r="BG188" i="25"/>
  <c r="BT188" i="25"/>
  <c r="BF114" i="25"/>
  <c r="BT114" i="25"/>
  <c r="BH114" i="25"/>
  <c r="BG114" i="25"/>
  <c r="CD129" i="25"/>
  <c r="BH129" i="25"/>
  <c r="BG129" i="25"/>
  <c r="BT129" i="25"/>
  <c r="BF129" i="25"/>
  <c r="CD200" i="25"/>
  <c r="BF200" i="25"/>
  <c r="BH200" i="25"/>
  <c r="BG200" i="25"/>
  <c r="BT200" i="25"/>
  <c r="CD166" i="25"/>
  <c r="BH166" i="25"/>
  <c r="BT166" i="25"/>
  <c r="BF166" i="25"/>
  <c r="BG166" i="25"/>
  <c r="CD196" i="25"/>
  <c r="BH196" i="25"/>
  <c r="BF196" i="25"/>
  <c r="BG196" i="25"/>
  <c r="BT196" i="25"/>
  <c r="CD170" i="25"/>
  <c r="BG170" i="25"/>
  <c r="BT170" i="25"/>
  <c r="BH170" i="25"/>
  <c r="BF170" i="25"/>
  <c r="BG131" i="25"/>
  <c r="BH131" i="25"/>
  <c r="BF131" i="25"/>
  <c r="BT131" i="25"/>
  <c r="CD139" i="25"/>
  <c r="BT139" i="25"/>
  <c r="BF139" i="25"/>
  <c r="BG139" i="25"/>
  <c r="BH139" i="25"/>
  <c r="CD180" i="25"/>
  <c r="BG180" i="25"/>
  <c r="BH180" i="25"/>
  <c r="BT180" i="25"/>
  <c r="BF180" i="25"/>
  <c r="BH113" i="25"/>
  <c r="BG113" i="25"/>
  <c r="BT113" i="25"/>
  <c r="BF113" i="25"/>
  <c r="CD116" i="25"/>
  <c r="BH116" i="25"/>
  <c r="BF116" i="25"/>
  <c r="BT116" i="25"/>
  <c r="BG116" i="25"/>
  <c r="CD156" i="25"/>
  <c r="BH156" i="25"/>
  <c r="BG156" i="25"/>
  <c r="BT156" i="25"/>
  <c r="BF156" i="25"/>
  <c r="CD204" i="25"/>
  <c r="BF204" i="25"/>
  <c r="BG204" i="25"/>
  <c r="BT204" i="25"/>
  <c r="BH204" i="25"/>
  <c r="BG124" i="25"/>
  <c r="BT124" i="25"/>
  <c r="BH124" i="25"/>
  <c r="BF124" i="25"/>
  <c r="CD146" i="25"/>
  <c r="BF146" i="25"/>
  <c r="BG146" i="25"/>
  <c r="BH146" i="25"/>
  <c r="BT146" i="25"/>
  <c r="CD205" i="25"/>
  <c r="BF205" i="25"/>
  <c r="BG205" i="25"/>
  <c r="BT205" i="25"/>
  <c r="BH205" i="25"/>
  <c r="CD203" i="25"/>
  <c r="BF203" i="25"/>
  <c r="BT203" i="25"/>
  <c r="BG203" i="25"/>
  <c r="BH203" i="25"/>
  <c r="CD192" i="25"/>
  <c r="BF192" i="25"/>
  <c r="BG192" i="25"/>
  <c r="BT192" i="25"/>
  <c r="BH192" i="25"/>
  <c r="CD169" i="25"/>
  <c r="BG169" i="25"/>
  <c r="BH169" i="25"/>
  <c r="BF169" i="25"/>
  <c r="BT169" i="25"/>
  <c r="CD130" i="25"/>
  <c r="BF130" i="25"/>
  <c r="BG130" i="25"/>
  <c r="BT130" i="25"/>
  <c r="BH130" i="25"/>
  <c r="CD185" i="25"/>
  <c r="BH185" i="25"/>
  <c r="BF185" i="25"/>
  <c r="BG185" i="25"/>
  <c r="BT185" i="25"/>
  <c r="CD198" i="25"/>
  <c r="BF198" i="25"/>
  <c r="BG198" i="25"/>
  <c r="BT198" i="25"/>
  <c r="BH198" i="25"/>
  <c r="CD168" i="25"/>
  <c r="BF168" i="25"/>
  <c r="BG168" i="25"/>
  <c r="BH168" i="25"/>
  <c r="BT168" i="25"/>
  <c r="CD115" i="25"/>
  <c r="BF115" i="25"/>
  <c r="BG115" i="25"/>
  <c r="BT115" i="25"/>
  <c r="BH115" i="25"/>
  <c r="BF117" i="25"/>
  <c r="BG117" i="25"/>
  <c r="BH117" i="25"/>
  <c r="BT117" i="25"/>
  <c r="CD208" i="25"/>
  <c r="BG208" i="25"/>
  <c r="BF208" i="25"/>
  <c r="BH208" i="25"/>
  <c r="BT208" i="25"/>
  <c r="CD128" i="25"/>
  <c r="BH128" i="25"/>
  <c r="BF128" i="25"/>
  <c r="BT128" i="25"/>
  <c r="BG128" i="25"/>
  <c r="CD150" i="25"/>
  <c r="BG150" i="25"/>
  <c r="BH150" i="25"/>
  <c r="BT150" i="25"/>
  <c r="BF150" i="25"/>
  <c r="CD151" i="25"/>
  <c r="BF151" i="25"/>
  <c r="BT151" i="25"/>
  <c r="BG151" i="25"/>
  <c r="BH151" i="25"/>
  <c r="CD184" i="25"/>
  <c r="BH184" i="25"/>
  <c r="BT184" i="25"/>
  <c r="BG184" i="25"/>
  <c r="BF184" i="25"/>
  <c r="CD186" i="25"/>
  <c r="BH186" i="25"/>
  <c r="BT186" i="25"/>
  <c r="BF186" i="25"/>
  <c r="BG186" i="25"/>
  <c r="CD194" i="25"/>
  <c r="BH194" i="25"/>
  <c r="BT194" i="25"/>
  <c r="BF194" i="25"/>
  <c r="BG194" i="25"/>
  <c r="CD210" i="25"/>
  <c r="BF210" i="25"/>
  <c r="BT210" i="25"/>
  <c r="BG210" i="25"/>
  <c r="BH210" i="25"/>
  <c r="CD157" i="25"/>
  <c r="BF157" i="25"/>
  <c r="BG157" i="25"/>
  <c r="BH157" i="25"/>
  <c r="BT157" i="25"/>
  <c r="CD174" i="25"/>
  <c r="BF174" i="25"/>
  <c r="BH174" i="25"/>
  <c r="BG174" i="25"/>
  <c r="BT174" i="25"/>
  <c r="CD132" i="25"/>
  <c r="BF132" i="25"/>
  <c r="BG132" i="25"/>
  <c r="BH132" i="25"/>
  <c r="BT132" i="25"/>
  <c r="CD111" i="25"/>
  <c r="BF111" i="25"/>
  <c r="BT111" i="25"/>
  <c r="BG111" i="25"/>
  <c r="BH111" i="25"/>
  <c r="CD207" i="25"/>
  <c r="BF207" i="25"/>
  <c r="BH207" i="25"/>
  <c r="BT207" i="25"/>
  <c r="BG207" i="25"/>
  <c r="CD125" i="25"/>
  <c r="BH125" i="25"/>
  <c r="BG125" i="25"/>
  <c r="BT125" i="25"/>
  <c r="BF125" i="25"/>
  <c r="CD197" i="25"/>
  <c r="BH197" i="25"/>
  <c r="BT197" i="25"/>
  <c r="BG197" i="25"/>
  <c r="BF197" i="25"/>
  <c r="CD183" i="25"/>
  <c r="BG183" i="25"/>
  <c r="BH183" i="25"/>
  <c r="BF183" i="25"/>
  <c r="BT183" i="25"/>
  <c r="CD145" i="25"/>
  <c r="BH145" i="25"/>
  <c r="BF145" i="25"/>
  <c r="BG145" i="25"/>
  <c r="BT145" i="25"/>
  <c r="CD202" i="25"/>
  <c r="BF202" i="25"/>
  <c r="BG202" i="25"/>
  <c r="BT202" i="25"/>
  <c r="BH202" i="25"/>
  <c r="CD148" i="25"/>
  <c r="BH148" i="25"/>
  <c r="BF148" i="25"/>
  <c r="BT148" i="25"/>
  <c r="BG148" i="25"/>
  <c r="CD141" i="25"/>
  <c r="BH141" i="25"/>
  <c r="BF141" i="25"/>
  <c r="BG141" i="25"/>
  <c r="BT141" i="25"/>
  <c r="CD149" i="25"/>
  <c r="BH149" i="25"/>
  <c r="BT149" i="25"/>
  <c r="BF149" i="25"/>
  <c r="BG149" i="25"/>
  <c r="CD126" i="25"/>
  <c r="BF126" i="25"/>
  <c r="BT126" i="25"/>
  <c r="BG126" i="25"/>
  <c r="BH126" i="25"/>
  <c r="CD165" i="25"/>
  <c r="BG165" i="25"/>
  <c r="BT165" i="25"/>
  <c r="BF165" i="25"/>
  <c r="BH165" i="25"/>
  <c r="CD152" i="25"/>
  <c r="BF152" i="25"/>
  <c r="BT152" i="25"/>
  <c r="BG152" i="25"/>
  <c r="BH152" i="25"/>
  <c r="CD158" i="25"/>
  <c r="BH158" i="25"/>
  <c r="BT158" i="25"/>
  <c r="BF158" i="25"/>
  <c r="BG158" i="25"/>
  <c r="CD121" i="25"/>
  <c r="BG121" i="25"/>
  <c r="BH121" i="25"/>
  <c r="BF121" i="25"/>
  <c r="BT121" i="25"/>
  <c r="CD143" i="25"/>
  <c r="BF143" i="25"/>
  <c r="BG143" i="25"/>
  <c r="BT143" i="25"/>
  <c r="BH143" i="25"/>
  <c r="CD136" i="25"/>
  <c r="BG136" i="25"/>
  <c r="BT136" i="25"/>
  <c r="BF136" i="25"/>
  <c r="BH136" i="25"/>
  <c r="CD138" i="25"/>
  <c r="BH138" i="25"/>
  <c r="BF138" i="25"/>
  <c r="BT138" i="25"/>
  <c r="BG138" i="25"/>
  <c r="CD189" i="25"/>
  <c r="BF189" i="25"/>
  <c r="BG189" i="25"/>
  <c r="BT189" i="25"/>
  <c r="BH189" i="25"/>
  <c r="CD123" i="25"/>
  <c r="BT123" i="25"/>
  <c r="BG123" i="25"/>
  <c r="BH123" i="25"/>
  <c r="BF123" i="25"/>
  <c r="CD175" i="25"/>
  <c r="BF175" i="25"/>
  <c r="BT175" i="25"/>
  <c r="BH175" i="25"/>
  <c r="BG175" i="25"/>
  <c r="CD163" i="25"/>
  <c r="BH163" i="25"/>
  <c r="BF163" i="25"/>
  <c r="BT163" i="25"/>
  <c r="BG163" i="25"/>
  <c r="CD172" i="25"/>
  <c r="BF172" i="25"/>
  <c r="BG172" i="25"/>
  <c r="BT172" i="25"/>
  <c r="BH172" i="25"/>
  <c r="CD209" i="25"/>
  <c r="BT209" i="25"/>
  <c r="BG209" i="25"/>
  <c r="BH209" i="25"/>
  <c r="BF209" i="25"/>
  <c r="CD167" i="25"/>
  <c r="BH167" i="25"/>
  <c r="BT167" i="25"/>
  <c r="BG167" i="25"/>
  <c r="BF167" i="25"/>
  <c r="CD187" i="25"/>
  <c r="BH187" i="25"/>
  <c r="BG187" i="25"/>
  <c r="BT187" i="25"/>
  <c r="BF187" i="25"/>
  <c r="CD154" i="25"/>
  <c r="BH154" i="25"/>
  <c r="BG154" i="25"/>
  <c r="BT154" i="25"/>
  <c r="BF154" i="25"/>
  <c r="CD161" i="25"/>
  <c r="BH161" i="25"/>
  <c r="BG161" i="25"/>
  <c r="BT161" i="25"/>
  <c r="BF161" i="25"/>
  <c r="CD119" i="25"/>
  <c r="BG119" i="25"/>
  <c r="BF119" i="25"/>
  <c r="BT119" i="25"/>
  <c r="BH119" i="25"/>
  <c r="CD177" i="25"/>
  <c r="BG177" i="25"/>
  <c r="BT177" i="25"/>
  <c r="BH177" i="25"/>
  <c r="BF177" i="25"/>
  <c r="BF133" i="25"/>
  <c r="BT133" i="25"/>
  <c r="BG133" i="25"/>
  <c r="BH133" i="25"/>
  <c r="CD144" i="25"/>
  <c r="BH144" i="25"/>
  <c r="BG144" i="25"/>
  <c r="BF144" i="25"/>
  <c r="BT144" i="25"/>
  <c r="BH122" i="25"/>
  <c r="BG122" i="25"/>
  <c r="BT122" i="25"/>
  <c r="BF122" i="25"/>
  <c r="CD160" i="25"/>
  <c r="BF160" i="25"/>
  <c r="BT160" i="25"/>
  <c r="BG160" i="25"/>
  <c r="BH160" i="25"/>
  <c r="CD191" i="25"/>
  <c r="BF191" i="25"/>
  <c r="BT191" i="25"/>
  <c r="BG191" i="25"/>
  <c r="BH191" i="25"/>
  <c r="CD171" i="25"/>
  <c r="BF171" i="25"/>
  <c r="BG171" i="25"/>
  <c r="BH171" i="25"/>
  <c r="BT171" i="25"/>
  <c r="BH112" i="25"/>
  <c r="BF112" i="25"/>
  <c r="BG112" i="25"/>
  <c r="BT112" i="25"/>
  <c r="CD182" i="25"/>
  <c r="BG182" i="25"/>
  <c r="BH182" i="25"/>
  <c r="BT182" i="25"/>
  <c r="BF182" i="25"/>
  <c r="CD155" i="25"/>
  <c r="BF155" i="25"/>
  <c r="BG155" i="25"/>
  <c r="BH155" i="25"/>
  <c r="BT155" i="25"/>
  <c r="CD178" i="25"/>
  <c r="BF178" i="25"/>
  <c r="BG178" i="25"/>
  <c r="BT178" i="25"/>
  <c r="BH178" i="25"/>
  <c r="CD153" i="25"/>
  <c r="BH153" i="25"/>
  <c r="BG153" i="25"/>
  <c r="BF153" i="25"/>
  <c r="BT153" i="25"/>
  <c r="BG135" i="25"/>
  <c r="BH135" i="25"/>
  <c r="BT135" i="25"/>
  <c r="BF135" i="25"/>
  <c r="CD159" i="25"/>
  <c r="BG159" i="25"/>
  <c r="BT159" i="25"/>
  <c r="BF159" i="25"/>
  <c r="BH159" i="25"/>
  <c r="BF173" i="25"/>
  <c r="BT173" i="25"/>
  <c r="BG173" i="25"/>
  <c r="BH173" i="25"/>
  <c r="CD127" i="25"/>
  <c r="BF127" i="25"/>
  <c r="BT127" i="25"/>
  <c r="BG127" i="25"/>
  <c r="BH127" i="25"/>
  <c r="BH162" i="25"/>
  <c r="BT162" i="25"/>
  <c r="BG162" i="25"/>
  <c r="BF162" i="25"/>
  <c r="AX154" i="24"/>
  <c r="BH142" i="24"/>
  <c r="BH139" i="24"/>
  <c r="BH121" i="24"/>
  <c r="BH179" i="24"/>
  <c r="AX143" i="24"/>
  <c r="BH171" i="24"/>
  <c r="BH158" i="24"/>
  <c r="BT120" i="24"/>
  <c r="BH185" i="24"/>
  <c r="BV183" i="24"/>
  <c r="AX197" i="24"/>
  <c r="BT154" i="24"/>
  <c r="AX127" i="24"/>
  <c r="BV125" i="24"/>
  <c r="BH145" i="24"/>
  <c r="AX139" i="24"/>
  <c r="AX179" i="24"/>
  <c r="BV145" i="24"/>
  <c r="BV142" i="24"/>
  <c r="BV139" i="24"/>
  <c r="CD164" i="24"/>
  <c r="BI164" i="24"/>
  <c r="BJ164" i="24"/>
  <c r="BH164" i="24"/>
  <c r="AX164" i="24"/>
  <c r="BT164" i="24"/>
  <c r="BV164" i="24"/>
  <c r="BI175" i="24"/>
  <c r="BJ175" i="24"/>
  <c r="BT175" i="24"/>
  <c r="AX175" i="24"/>
  <c r="BV175" i="24"/>
  <c r="BH175" i="24"/>
  <c r="CD201" i="24"/>
  <c r="BI201" i="24"/>
  <c r="BJ201" i="24"/>
  <c r="AT116" i="24"/>
  <c r="BT116" i="24"/>
  <c r="BV116" i="24"/>
  <c r="BH116" i="24"/>
  <c r="AX116" i="24"/>
  <c r="BI113" i="24"/>
  <c r="BJ113" i="24"/>
  <c r="BT113" i="24"/>
  <c r="BV113" i="24"/>
  <c r="AX113" i="24"/>
  <c r="BH113" i="24"/>
  <c r="AT136" i="24"/>
  <c r="CD144" i="24"/>
  <c r="BI144" i="24"/>
  <c r="BJ144" i="24"/>
  <c r="BT144" i="24"/>
  <c r="BH144" i="24"/>
  <c r="BV144" i="24"/>
  <c r="AT148" i="24"/>
  <c r="BT148" i="24"/>
  <c r="BV148" i="24"/>
  <c r="BH148" i="24"/>
  <c r="AX148" i="24"/>
  <c r="AT169" i="24"/>
  <c r="AT181" i="24"/>
  <c r="AT208" i="24"/>
  <c r="CD190" i="24"/>
  <c r="BI190" i="24"/>
  <c r="BJ190" i="24"/>
  <c r="BT190" i="24"/>
  <c r="BV190" i="24"/>
  <c r="AX190" i="24"/>
  <c r="BH190" i="24"/>
  <c r="BI148" i="24"/>
  <c r="BJ148" i="24"/>
  <c r="CD126" i="24"/>
  <c r="BI126" i="24"/>
  <c r="BJ126" i="24"/>
  <c r="BV126" i="24"/>
  <c r="BH126" i="24"/>
  <c r="BT126" i="24"/>
  <c r="AX126" i="24"/>
  <c r="CD111" i="24"/>
  <c r="BI111" i="24"/>
  <c r="BJ111" i="24"/>
  <c r="BJ118" i="24"/>
  <c r="BI118" i="24"/>
  <c r="BV118" i="24"/>
  <c r="AX118" i="24"/>
  <c r="BT118" i="24"/>
  <c r="BH118" i="24"/>
  <c r="AQ200" i="24"/>
  <c r="BI200" i="24"/>
  <c r="BJ200" i="24"/>
  <c r="AX200" i="24"/>
  <c r="BH200" i="24"/>
  <c r="BV200" i="24"/>
  <c r="BT200" i="24"/>
  <c r="CD178" i="24"/>
  <c r="BI178" i="24"/>
  <c r="BJ178" i="24"/>
  <c r="BT178" i="24"/>
  <c r="AX178" i="24"/>
  <c r="BH178" i="24"/>
  <c r="BV178" i="24"/>
  <c r="CD197" i="24"/>
  <c r="BI197" i="24"/>
  <c r="BJ197" i="24"/>
  <c r="BJ116" i="24"/>
  <c r="BI116" i="24"/>
  <c r="AT123" i="24"/>
  <c r="AT122" i="24"/>
  <c r="CD177" i="24"/>
  <c r="BI177" i="24"/>
  <c r="BJ177" i="24"/>
  <c r="BI137" i="24"/>
  <c r="BJ137" i="24"/>
  <c r="BI143" i="24"/>
  <c r="BJ143" i="24"/>
  <c r="BI120" i="24"/>
  <c r="BJ120" i="24"/>
  <c r="BJ153" i="24"/>
  <c r="BI153" i="24"/>
  <c r="CD171" i="24"/>
  <c r="BI171" i="24"/>
  <c r="BJ171" i="24"/>
  <c r="AT172" i="24"/>
  <c r="BV121" i="24"/>
  <c r="BH120" i="24"/>
  <c r="BT177" i="24"/>
  <c r="BH137" i="24"/>
  <c r="BT197" i="24"/>
  <c r="BV127" i="24"/>
  <c r="CD160" i="24"/>
  <c r="BJ160" i="24"/>
  <c r="BI160" i="24"/>
  <c r="BH160" i="24"/>
  <c r="AX160" i="24"/>
  <c r="BV160" i="24"/>
  <c r="BT160" i="24"/>
  <c r="BI135" i="24"/>
  <c r="BJ135" i="24"/>
  <c r="BT135" i="24"/>
  <c r="AX135" i="24"/>
  <c r="BV135" i="24"/>
  <c r="BH135" i="24"/>
  <c r="CD154" i="24"/>
  <c r="BI154" i="24"/>
  <c r="BJ154" i="24"/>
  <c r="AT115" i="24"/>
  <c r="CD125" i="24"/>
  <c r="BI125" i="24"/>
  <c r="BJ125" i="24"/>
  <c r="CD187" i="24"/>
  <c r="BI187" i="24"/>
  <c r="BJ187" i="24"/>
  <c r="CD183" i="24"/>
  <c r="BI183" i="24"/>
  <c r="BJ183" i="24"/>
  <c r="CD179" i="24"/>
  <c r="BI179" i="24"/>
  <c r="BJ179" i="24"/>
  <c r="CD151" i="24"/>
  <c r="BJ151" i="24"/>
  <c r="BI151" i="24"/>
  <c r="CD185" i="24"/>
  <c r="BI185" i="24"/>
  <c r="BJ185" i="24"/>
  <c r="BI158" i="24"/>
  <c r="BJ158" i="24"/>
  <c r="AT157" i="24"/>
  <c r="AT201" i="24"/>
  <c r="BT201" i="24"/>
  <c r="AX201" i="24"/>
  <c r="BV201" i="24"/>
  <c r="BH201" i="24"/>
  <c r="AT153" i="24"/>
  <c r="BT153" i="24"/>
  <c r="BV153" i="24"/>
  <c r="AX153" i="24"/>
  <c r="BH153" i="24"/>
  <c r="AT195" i="24"/>
  <c r="BV171" i="24"/>
  <c r="AX121" i="24"/>
  <c r="AX158" i="24"/>
  <c r="BT158" i="24"/>
  <c r="BV120" i="24"/>
  <c r="BH111" i="24"/>
  <c r="BT111" i="24"/>
  <c r="BT185" i="24"/>
  <c r="AX151" i="24"/>
  <c r="BT151" i="24"/>
  <c r="BH177" i="24"/>
  <c r="BV177" i="24"/>
  <c r="BH183" i="24"/>
  <c r="BT183" i="24"/>
  <c r="AX142" i="24"/>
  <c r="BV137" i="24"/>
  <c r="BT137" i="24"/>
  <c r="BV197" i="24"/>
  <c r="BV179" i="24"/>
  <c r="BV154" i="24"/>
  <c r="BT143" i="24"/>
  <c r="BT125" i="24"/>
  <c r="AX145" i="24"/>
  <c r="CD121" i="24"/>
  <c r="BI121" i="24"/>
  <c r="BJ121" i="24"/>
  <c r="BI138" i="24"/>
  <c r="BJ138" i="24"/>
  <c r="BV138" i="24"/>
  <c r="BT138" i="24"/>
  <c r="BH138" i="24"/>
  <c r="AX138" i="24"/>
  <c r="CD140" i="24"/>
  <c r="BJ140" i="24"/>
  <c r="BI140" i="24"/>
  <c r="BH140" i="24"/>
  <c r="AX140" i="24"/>
  <c r="BT140" i="24"/>
  <c r="BV140" i="24"/>
  <c r="CD202" i="24"/>
  <c r="BI202" i="24"/>
  <c r="BJ202" i="24"/>
  <c r="BT202" i="24"/>
  <c r="AX202" i="24"/>
  <c r="BV202" i="24"/>
  <c r="BH202" i="24"/>
  <c r="CD173" i="24"/>
  <c r="BI173" i="24"/>
  <c r="BJ173" i="24"/>
  <c r="AX173" i="24"/>
  <c r="BV173" i="24"/>
  <c r="BT173" i="24"/>
  <c r="BH173" i="24"/>
  <c r="CD129" i="24"/>
  <c r="BI129" i="24"/>
  <c r="BJ129" i="24"/>
  <c r="BH129" i="24"/>
  <c r="BT129" i="24"/>
  <c r="AX129" i="24"/>
  <c r="BV129" i="24"/>
  <c r="CD124" i="24"/>
  <c r="BJ124" i="24"/>
  <c r="BI124" i="24"/>
  <c r="BV124" i="24"/>
  <c r="BH124" i="24"/>
  <c r="AX124" i="24"/>
  <c r="BT124" i="24"/>
  <c r="CD127" i="24"/>
  <c r="BI127" i="24"/>
  <c r="BJ127" i="24"/>
  <c r="CD180" i="24"/>
  <c r="BJ180" i="24"/>
  <c r="BI180" i="24"/>
  <c r="BV180" i="24"/>
  <c r="AX180" i="24"/>
  <c r="BH180" i="24"/>
  <c r="BT180" i="24"/>
  <c r="BI145" i="24"/>
  <c r="BJ145" i="24"/>
  <c r="CD142" i="24"/>
  <c r="BI142" i="24"/>
  <c r="BJ142" i="24"/>
  <c r="AT112" i="24"/>
  <c r="CD139" i="24"/>
  <c r="BI139" i="24"/>
  <c r="BJ139" i="24"/>
  <c r="AT155" i="24"/>
  <c r="AT210" i="24"/>
  <c r="AT187" i="24"/>
  <c r="BT187" i="24"/>
  <c r="BH187" i="24"/>
  <c r="BV187" i="24"/>
  <c r="AX187" i="24"/>
  <c r="AT207" i="24"/>
  <c r="BT171" i="24"/>
  <c r="BV111" i="24"/>
  <c r="AX185" i="24"/>
  <c r="AX177" i="24"/>
  <c r="AX137" i="24"/>
  <c r="BH127" i="24"/>
  <c r="BH143" i="24"/>
  <c r="AX125" i="24"/>
  <c r="AN165" i="24"/>
  <c r="AQ165" i="24" s="1"/>
  <c r="BV56" i="24"/>
  <c r="BV74" i="24"/>
  <c r="AK152" i="24"/>
  <c r="AV15" i="24"/>
  <c r="AV33" i="24"/>
  <c r="AV41" i="24"/>
  <c r="AV64" i="24"/>
  <c r="AV46" i="24"/>
  <c r="BV46" i="24"/>
  <c r="AV63" i="24"/>
  <c r="BV63" i="24"/>
  <c r="BV89" i="24"/>
  <c r="AV92" i="24"/>
  <c r="BV92" i="24"/>
  <c r="AV79" i="24"/>
  <c r="BV79" i="24"/>
  <c r="AV34" i="24"/>
  <c r="AV11" i="24"/>
  <c r="AV99" i="24"/>
  <c r="AT8" i="24"/>
  <c r="BA8" i="24" s="1"/>
  <c r="AV28" i="24"/>
  <c r="BV28" i="24"/>
  <c r="AV31" i="24"/>
  <c r="BV31" i="24"/>
  <c r="AV18" i="24"/>
  <c r="BV18" i="24"/>
  <c r="AV96" i="24"/>
  <c r="BV96" i="24"/>
  <c r="AV55" i="24"/>
  <c r="BV100" i="24"/>
  <c r="AV49" i="24"/>
  <c r="AV43" i="24"/>
  <c r="AV35" i="24"/>
  <c r="AV29" i="24"/>
  <c r="BV29" i="24"/>
  <c r="AV21" i="24"/>
  <c r="BV21" i="24"/>
  <c r="AV51" i="24"/>
  <c r="AV72" i="24"/>
  <c r="BV72" i="24"/>
  <c r="BV83" i="24"/>
  <c r="AV19" i="24"/>
  <c r="BV19" i="24"/>
  <c r="AT13" i="24"/>
  <c r="BA13" i="24" s="1"/>
  <c r="AV40" i="24"/>
  <c r="BV40" i="24"/>
  <c r="AV59" i="24"/>
  <c r="BV59" i="24"/>
  <c r="AV54" i="24"/>
  <c r="BV54" i="24"/>
  <c r="AV68" i="24"/>
  <c r="BV68" i="24"/>
  <c r="AV82" i="24"/>
  <c r="BV82" i="24"/>
  <c r="AV97" i="24"/>
  <c r="BV32" i="24"/>
  <c r="BV53" i="24"/>
  <c r="AK172" i="24"/>
  <c r="AT79" i="24"/>
  <c r="BA79" i="24" s="1"/>
  <c r="AN152" i="24"/>
  <c r="AK70" i="24"/>
  <c r="AK253" i="24"/>
  <c r="AN278" i="24"/>
  <c r="CD278" i="24" s="1"/>
  <c r="AN305" i="24"/>
  <c r="AQ305" i="24" s="1"/>
  <c r="AN182" i="24"/>
  <c r="AK281" i="24"/>
  <c r="AK313" i="24"/>
  <c r="AN70" i="24"/>
  <c r="AN78" i="24"/>
  <c r="AN193" i="24"/>
  <c r="AQ104" i="24"/>
  <c r="CD104" i="24"/>
  <c r="AK277" i="24"/>
  <c r="BF32" i="25"/>
  <c r="CD32" i="25"/>
  <c r="AX36" i="24"/>
  <c r="CD36" i="24"/>
  <c r="AN237" i="24"/>
  <c r="AS237" i="24" s="1"/>
  <c r="AK246" i="24"/>
  <c r="AK190" i="24"/>
  <c r="CD78" i="24"/>
  <c r="AX42" i="24"/>
  <c r="CD42" i="24"/>
  <c r="AK115" i="24"/>
  <c r="AK137" i="24"/>
  <c r="AN238" i="24"/>
  <c r="AQ238" i="24" s="1"/>
  <c r="AK154" i="24"/>
  <c r="AN260" i="24"/>
  <c r="AQ260" i="24" s="1"/>
  <c r="AK263" i="24"/>
  <c r="AK280" i="24"/>
  <c r="AK207" i="24"/>
  <c r="AK260" i="24"/>
  <c r="AK195" i="24"/>
  <c r="AJ103" i="24"/>
  <c r="AK193" i="24"/>
  <c r="AN128" i="24"/>
  <c r="AN132" i="24"/>
  <c r="AK289" i="24"/>
  <c r="AN191" i="24"/>
  <c r="CD191" i="24" s="1"/>
  <c r="AK157" i="24"/>
  <c r="AK262" i="24"/>
  <c r="AK132" i="24"/>
  <c r="AN262" i="24"/>
  <c r="AS262" i="24" s="1"/>
  <c r="AK169" i="24"/>
  <c r="AN189" i="24"/>
  <c r="AN311" i="24"/>
  <c r="AQ311" i="24" s="1"/>
  <c r="AK248" i="24"/>
  <c r="AK114" i="24"/>
  <c r="AK270" i="24"/>
  <c r="AK210" i="24"/>
  <c r="AN255" i="24"/>
  <c r="CD255" i="24" s="1"/>
  <c r="AN146" i="24"/>
  <c r="AK312" i="24"/>
  <c r="AN217" i="24"/>
  <c r="CD217" i="24" s="1"/>
  <c r="AK283" i="24"/>
  <c r="AJ81" i="24"/>
  <c r="AJ75" i="24"/>
  <c r="AJ93" i="24"/>
  <c r="AK242" i="24"/>
  <c r="AK196" i="24"/>
  <c r="AN147" i="24"/>
  <c r="AN312" i="24"/>
  <c r="AQ312" i="24" s="1"/>
  <c r="AN291" i="24"/>
  <c r="CD291" i="24" s="1"/>
  <c r="AK249" i="24"/>
  <c r="AN263" i="24"/>
  <c r="AS263" i="24" s="1"/>
  <c r="AN289" i="24"/>
  <c r="AK244" i="24"/>
  <c r="AK261" i="24"/>
  <c r="AK158" i="24"/>
  <c r="AK183" i="24"/>
  <c r="AK191" i="24"/>
  <c r="AK56" i="24"/>
  <c r="AJ98" i="24"/>
  <c r="AN73" i="24"/>
  <c r="BV73" i="24" s="1"/>
  <c r="AK269" i="24"/>
  <c r="AK252" i="24"/>
  <c r="AN170" i="24"/>
  <c r="AX63" i="24"/>
  <c r="AN55" i="24"/>
  <c r="BT55" i="24" s="1"/>
  <c r="AN159" i="24"/>
  <c r="AN25" i="24"/>
  <c r="AK189" i="24"/>
  <c r="AK162" i="24"/>
  <c r="AN295" i="24"/>
  <c r="AQ295" i="24" s="1"/>
  <c r="AK142" i="24"/>
  <c r="AK174" i="24"/>
  <c r="AN33" i="24"/>
  <c r="AX33" i="24" s="1"/>
  <c r="AN167" i="24"/>
  <c r="CD167" i="24" s="1"/>
  <c r="AN168" i="24"/>
  <c r="AN122" i="24"/>
  <c r="AN166" i="24"/>
  <c r="AN242" i="24"/>
  <c r="AQ242" i="24" s="1"/>
  <c r="AK97" i="24"/>
  <c r="AN265" i="24"/>
  <c r="CD265" i="24" s="1"/>
  <c r="AK185" i="24"/>
  <c r="AT97" i="24"/>
  <c r="BA97" i="24" s="1"/>
  <c r="AN269" i="24"/>
  <c r="AS269" i="24" s="1"/>
  <c r="AN226" i="24"/>
  <c r="AQ226" i="24" s="1"/>
  <c r="AK147" i="24"/>
  <c r="AK155" i="24"/>
  <c r="AK92" i="24"/>
  <c r="AT92" i="24"/>
  <c r="BA92" i="24" s="1"/>
  <c r="AK171" i="24"/>
  <c r="AN130" i="24"/>
  <c r="AJ67" i="24"/>
  <c r="AJ84" i="24"/>
  <c r="AJ76" i="24"/>
  <c r="AK166" i="24"/>
  <c r="AX68" i="24"/>
  <c r="AT68" i="24"/>
  <c r="BA68" i="24" s="1"/>
  <c r="AK257" i="24"/>
  <c r="AK267" i="24"/>
  <c r="AJ66" i="24"/>
  <c r="AJ44" i="24"/>
  <c r="AT82" i="24"/>
  <c r="BA82" i="24" s="1"/>
  <c r="AN114" i="24"/>
  <c r="AK290" i="24"/>
  <c r="AN150" i="24"/>
  <c r="AK282" i="24"/>
  <c r="AK299" i="24"/>
  <c r="AN198" i="24"/>
  <c r="AK153" i="24"/>
  <c r="AK120" i="24"/>
  <c r="AN176" i="24"/>
  <c r="AK143" i="24"/>
  <c r="AN308" i="24"/>
  <c r="AQ308" i="24" s="1"/>
  <c r="AN206" i="24"/>
  <c r="AN117" i="24"/>
  <c r="AT59" i="24"/>
  <c r="BA59" i="24" s="1"/>
  <c r="AK139" i="24"/>
  <c r="AK168" i="24"/>
  <c r="AN156" i="24"/>
  <c r="AN204" i="24"/>
  <c r="AK151" i="24"/>
  <c r="AN231" i="24"/>
  <c r="AS231" i="24" s="1"/>
  <c r="BH46" i="24"/>
  <c r="AN232" i="24"/>
  <c r="AQ232" i="24" s="1"/>
  <c r="AN195" i="24"/>
  <c r="BH195" i="24" s="1"/>
  <c r="AK144" i="24"/>
  <c r="AT46" i="24"/>
  <c r="BA46" i="24" s="1"/>
  <c r="AT63" i="24"/>
  <c r="BA63" i="24" s="1"/>
  <c r="AK25" i="24"/>
  <c r="AK51" i="24"/>
  <c r="AK298" i="24"/>
  <c r="AT51" i="24"/>
  <c r="BA51" i="24" s="1"/>
  <c r="AK276" i="24"/>
  <c r="AN296" i="24"/>
  <c r="AS296" i="24" s="1"/>
  <c r="AN306" i="24"/>
  <c r="AK89" i="24"/>
  <c r="AK225" i="24"/>
  <c r="AV88" i="24"/>
  <c r="AT88" i="24"/>
  <c r="BA88" i="24" s="1"/>
  <c r="AN10" i="24"/>
  <c r="AN284" i="24"/>
  <c r="AQ284" i="24" s="1"/>
  <c r="AJ77" i="24"/>
  <c r="AN174" i="24"/>
  <c r="AT40" i="24"/>
  <c r="BA40" i="24" s="1"/>
  <c r="AN225" i="24"/>
  <c r="AQ225" i="24" s="1"/>
  <c r="AN133" i="24"/>
  <c r="AT72" i="24"/>
  <c r="BA72" i="24" s="1"/>
  <c r="AJ71" i="24"/>
  <c r="AT54" i="24"/>
  <c r="BA54" i="24" s="1"/>
  <c r="AV89" i="24"/>
  <c r="AT89" i="24"/>
  <c r="BA89" i="24" s="1"/>
  <c r="AJ80" i="24"/>
  <c r="AJ90" i="24"/>
  <c r="AJ39" i="24"/>
  <c r="AK112" i="24"/>
  <c r="AK113" i="24"/>
  <c r="AJ57" i="24"/>
  <c r="AJ62" i="24"/>
  <c r="AK64" i="24"/>
  <c r="AT64" i="24"/>
  <c r="BA64" i="24" s="1"/>
  <c r="AN162" i="24"/>
  <c r="AN209" i="24"/>
  <c r="AK179" i="24"/>
  <c r="AV61" i="24"/>
  <c r="AT61" i="24"/>
  <c r="BA61" i="24" s="1"/>
  <c r="AJ38" i="24"/>
  <c r="AT43" i="24"/>
  <c r="BA43" i="24" s="1"/>
  <c r="AJ45" i="24"/>
  <c r="AK136" i="24"/>
  <c r="AN188" i="24"/>
  <c r="AJ48" i="24"/>
  <c r="AJ52" i="24"/>
  <c r="AN119" i="24"/>
  <c r="AK145" i="24"/>
  <c r="AK167" i="24"/>
  <c r="BH40" i="24"/>
  <c r="AK41" i="24"/>
  <c r="AN141" i="24"/>
  <c r="AN184" i="24"/>
  <c r="AN95" i="24"/>
  <c r="CD95" i="24" s="1"/>
  <c r="AK46" i="24"/>
  <c r="AT41" i="24"/>
  <c r="BA41" i="24" s="1"/>
  <c r="AN112" i="24"/>
  <c r="AN196" i="24"/>
  <c r="AN208" i="24"/>
  <c r="BV208" i="24" s="1"/>
  <c r="AN101" i="24"/>
  <c r="AK54" i="24"/>
  <c r="AN60" i="24"/>
  <c r="BV60" i="24" s="1"/>
  <c r="AN181" i="24"/>
  <c r="BT181" i="24" s="1"/>
  <c r="AN157" i="24"/>
  <c r="BV157" i="24" s="1"/>
  <c r="AK36" i="24"/>
  <c r="AN23" i="24"/>
  <c r="AN205" i="24"/>
  <c r="AN199" i="24"/>
  <c r="AK96" i="24"/>
  <c r="AN97" i="24"/>
  <c r="CD97" i="24" s="1"/>
  <c r="AN51" i="24"/>
  <c r="BV51" i="24" s="1"/>
  <c r="AN105" i="24"/>
  <c r="CD105" i="24" s="1"/>
  <c r="AK85" i="24"/>
  <c r="AK100" i="24"/>
  <c r="AK148" i="24"/>
  <c r="AN192" i="24"/>
  <c r="AN186" i="24"/>
  <c r="AT21" i="24"/>
  <c r="BA21" i="24" s="1"/>
  <c r="AN203" i="24"/>
  <c r="AK177" i="24"/>
  <c r="AV13" i="24"/>
  <c r="AN41" i="24"/>
  <c r="BH41" i="24" s="1"/>
  <c r="AN210" i="24"/>
  <c r="AX210" i="24" s="1"/>
  <c r="AK187" i="24"/>
  <c r="AK122" i="24"/>
  <c r="AT31" i="24"/>
  <c r="BA31" i="24" s="1"/>
  <c r="AN14" i="24"/>
  <c r="AN172" i="24"/>
  <c r="BH172" i="24" s="1"/>
  <c r="AN131" i="24"/>
  <c r="AK159" i="24"/>
  <c r="AT18" i="24"/>
  <c r="BA18" i="24" s="1"/>
  <c r="AK82" i="24"/>
  <c r="AX31" i="24"/>
  <c r="AK18" i="24"/>
  <c r="AN115" i="24"/>
  <c r="BV115" i="24" s="1"/>
  <c r="AK40" i="24"/>
  <c r="AK42" i="24"/>
  <c r="AK79" i="24"/>
  <c r="AN149" i="24"/>
  <c r="AK23" i="24"/>
  <c r="AK125" i="24"/>
  <c r="AN161" i="24"/>
  <c r="AN155" i="24"/>
  <c r="BH155" i="24" s="1"/>
  <c r="AN207" i="24"/>
  <c r="BV207" i="24" s="1"/>
  <c r="AN163" i="24"/>
  <c r="AN136" i="24"/>
  <c r="AK21" i="24"/>
  <c r="AK72" i="24"/>
  <c r="BH21" i="24"/>
  <c r="CD70" i="24"/>
  <c r="AT33" i="24"/>
  <c r="BA33" i="24" s="1"/>
  <c r="AN27" i="24"/>
  <c r="AX92" i="24"/>
  <c r="CD92" i="24"/>
  <c r="AN64" i="24"/>
  <c r="BH64" i="24" s="1"/>
  <c r="AT19" i="24"/>
  <c r="BA19" i="24" s="1"/>
  <c r="AK29" i="24"/>
  <c r="AK55" i="24"/>
  <c r="AN86" i="24"/>
  <c r="BH19" i="24"/>
  <c r="AN87" i="24"/>
  <c r="CD87" i="24" s="1"/>
  <c r="AK28" i="24"/>
  <c r="AG65" i="24"/>
  <c r="AN65" i="24" s="1"/>
  <c r="BI65" i="24" s="1"/>
  <c r="AN169" i="24"/>
  <c r="AX169" i="24" s="1"/>
  <c r="AN50" i="24"/>
  <c r="CD50" i="24" s="1"/>
  <c r="AK33" i="24"/>
  <c r="AG71" i="24"/>
  <c r="AK123" i="24"/>
  <c r="AT15" i="24"/>
  <c r="BA15" i="24" s="1"/>
  <c r="AN134" i="24"/>
  <c r="BF90" i="25"/>
  <c r="CD90" i="25"/>
  <c r="AT29" i="24"/>
  <c r="BA29" i="24" s="1"/>
  <c r="AG13" i="24"/>
  <c r="AK13" i="24" s="1"/>
  <c r="AK116" i="24"/>
  <c r="AN194" i="24"/>
  <c r="AV8" i="24"/>
  <c r="BH28" i="24"/>
  <c r="AK201" i="24"/>
  <c r="AN123" i="24"/>
  <c r="BV123" i="24" s="1"/>
  <c r="AK31" i="24"/>
  <c r="AK53" i="24"/>
  <c r="AT28" i="24"/>
  <c r="BA28" i="24" s="1"/>
  <c r="AN91" i="24"/>
  <c r="AK63" i="24"/>
  <c r="AK68" i="24"/>
  <c r="AK59" i="24"/>
  <c r="AF43" i="24"/>
  <c r="AK43" i="24" s="1"/>
  <c r="AK19" i="24"/>
  <c r="AK32" i="24"/>
  <c r="AT49" i="24"/>
  <c r="BA49" i="24" s="1"/>
  <c r="AG49" i="24"/>
  <c r="AK49" i="24" s="1"/>
  <c r="AV37" i="24"/>
  <c r="AT37" i="24"/>
  <c r="BA37" i="24" s="1"/>
  <c r="BT104" i="24"/>
  <c r="AX104" i="24"/>
  <c r="BI104" i="24"/>
  <c r="AN69" i="24"/>
  <c r="AK104" i="24"/>
  <c r="AN43" i="24"/>
  <c r="AX43" i="24" s="1"/>
  <c r="AG102" i="24"/>
  <c r="AJ22" i="24"/>
  <c r="AT34" i="24"/>
  <c r="BA34" i="24" s="1"/>
  <c r="AG48" i="24"/>
  <c r="BH104" i="24"/>
  <c r="AV65" i="24"/>
  <c r="AT65" i="24"/>
  <c r="BA65" i="24" s="1"/>
  <c r="AS104" i="24"/>
  <c r="AU104" i="24" s="1"/>
  <c r="BB104" i="24" s="1"/>
  <c r="AG22" i="24"/>
  <c r="AN22" i="24" s="1"/>
  <c r="AV102" i="24"/>
  <c r="AT102" i="24"/>
  <c r="BA102" i="24" s="1"/>
  <c r="BJ104" i="24"/>
  <c r="AG81" i="24"/>
  <c r="AN81" i="24" s="1"/>
  <c r="CD81" i="24" s="1"/>
  <c r="AG15" i="24"/>
  <c r="AK15" i="24" s="1"/>
  <c r="AG34" i="24"/>
  <c r="AN34" i="24" s="1"/>
  <c r="AX34" i="24" s="1"/>
  <c r="AG93" i="24"/>
  <c r="AJ12" i="24"/>
  <c r="AG37" i="24"/>
  <c r="AF37" i="24"/>
  <c r="AJ20" i="24"/>
  <c r="AF8" i="24"/>
  <c r="AG8" i="24"/>
  <c r="AA94" i="24"/>
  <c r="AB94" i="24" s="1"/>
  <c r="AC94" i="24" s="1"/>
  <c r="AJ94" i="24" s="1"/>
  <c r="AG94" i="24"/>
  <c r="AV6" i="24"/>
  <c r="AT6" i="24"/>
  <c r="BA6" i="24" s="1"/>
  <c r="AT35" i="24"/>
  <c r="BA35" i="24" s="1"/>
  <c r="AT99" i="24"/>
  <c r="BA99" i="24" s="1"/>
  <c r="AJ7" i="24"/>
  <c r="AT11" i="24"/>
  <c r="BA11" i="24" s="1"/>
  <c r="AV58" i="24"/>
  <c r="AT58" i="24"/>
  <c r="BA58" i="24" s="1"/>
  <c r="AF11" i="24"/>
  <c r="AG11" i="24"/>
  <c r="AF57" i="24"/>
  <c r="AG57" i="24"/>
  <c r="AG88" i="24"/>
  <c r="AK88" i="24" s="1"/>
  <c r="AG16" i="24"/>
  <c r="AF16" i="24"/>
  <c r="AF67" i="24"/>
  <c r="AG67" i="24"/>
  <c r="AF39" i="24"/>
  <c r="AG39" i="24"/>
  <c r="AF99" i="24"/>
  <c r="AG99" i="24"/>
  <c r="AF47" i="24"/>
  <c r="AG47" i="24"/>
  <c r="AJ9" i="24"/>
  <c r="AF12" i="24"/>
  <c r="AG12" i="24"/>
  <c r="AF58" i="24"/>
  <c r="AG58" i="24"/>
  <c r="AF76" i="24"/>
  <c r="AG76" i="24"/>
  <c r="AG24" i="24"/>
  <c r="AF24" i="24"/>
  <c r="AF30" i="24"/>
  <c r="AG30" i="24"/>
  <c r="AG61" i="24"/>
  <c r="AF17" i="24"/>
  <c r="AG17" i="24"/>
  <c r="AG77" i="24"/>
  <c r="AF77" i="24"/>
  <c r="AF84" i="24"/>
  <c r="AG84" i="24"/>
  <c r="AF80" i="24"/>
  <c r="AG80" i="24"/>
  <c r="AG75" i="24"/>
  <c r="AF75" i="24"/>
  <c r="AF20" i="24"/>
  <c r="AG20" i="24"/>
  <c r="AA26" i="24"/>
  <c r="AB26" i="24" s="1"/>
  <c r="AC26" i="24" s="1"/>
  <c r="AJ26" i="24" s="1"/>
  <c r="AG26" i="24"/>
  <c r="AG45" i="24"/>
  <c r="AF45" i="24"/>
  <c r="AF52" i="24"/>
  <c r="AG52" i="24"/>
  <c r="AG9" i="24"/>
  <c r="AF9" i="24"/>
  <c r="AG35" i="24"/>
  <c r="AN35" i="24" s="1"/>
  <c r="BH35" i="24" s="1"/>
  <c r="AJ16" i="24"/>
  <c r="AJ17" i="24"/>
  <c r="AG66" i="24"/>
  <c r="AF66" i="24"/>
  <c r="AJ24" i="24"/>
  <c r="AG38" i="24"/>
  <c r="AF38" i="24"/>
  <c r="AJ30" i="24"/>
  <c r="AG103" i="24"/>
  <c r="AF103" i="24"/>
  <c r="AV47" i="24"/>
  <c r="AT47" i="24"/>
  <c r="BA47" i="24" s="1"/>
  <c r="AG90" i="24"/>
  <c r="AF90" i="24"/>
  <c r="AF62" i="24"/>
  <c r="AG62" i="24"/>
  <c r="AG98" i="24"/>
  <c r="AF98" i="24"/>
  <c r="AG44" i="24"/>
  <c r="AF6" i="24"/>
  <c r="AG6" i="24"/>
  <c r="AF7" i="24"/>
  <c r="AG7" i="24"/>
  <c r="AX54" i="24"/>
  <c r="AX72" i="24"/>
  <c r="BT85" i="24"/>
  <c r="AX85" i="24"/>
  <c r="AX82" i="24"/>
  <c r="AX74" i="24"/>
  <c r="AX59" i="24"/>
  <c r="AX96" i="24"/>
  <c r="AX28" i="24"/>
  <c r="AX89" i="24"/>
  <c r="AX79" i="24"/>
  <c r="AX18" i="24"/>
  <c r="AX40" i="24"/>
  <c r="AX19" i="24"/>
  <c r="AX21" i="24"/>
  <c r="AX29" i="24"/>
  <c r="AX46" i="24"/>
  <c r="AU5" i="24"/>
  <c r="BB5" i="24" s="1"/>
  <c r="BT72" i="25"/>
  <c r="CD72" i="25"/>
  <c r="AN110" i="24"/>
  <c r="BT98" i="25"/>
  <c r="CD98" i="25"/>
  <c r="BT58" i="25"/>
  <c r="CD58" i="25"/>
  <c r="BT74" i="25"/>
  <c r="CD74" i="25"/>
  <c r="AW5" i="24"/>
  <c r="AY5" i="24" s="1"/>
  <c r="AZ5" i="24" s="1"/>
  <c r="BF39" i="25"/>
  <c r="CD39" i="25"/>
  <c r="AM110" i="25"/>
  <c r="BV110" i="25" s="1"/>
  <c r="BF84" i="25"/>
  <c r="CD84" i="25"/>
  <c r="BF33" i="25"/>
  <c r="CD33" i="25"/>
  <c r="BT55" i="25"/>
  <c r="CD55" i="25"/>
  <c r="BT75" i="25"/>
  <c r="CD75" i="25"/>
  <c r="BF60" i="25"/>
  <c r="CD60" i="25"/>
  <c r="AS5" i="25"/>
  <c r="AW5" i="25" s="1"/>
  <c r="BF43" i="25"/>
  <c r="CD43" i="25"/>
  <c r="BT53" i="24"/>
  <c r="BH36" i="24"/>
  <c r="BF50" i="25"/>
  <c r="CD50" i="25"/>
  <c r="BT25" i="25"/>
  <c r="CD25" i="25"/>
  <c r="BT65" i="25"/>
  <c r="CD65" i="25"/>
  <c r="AJ5" i="25"/>
  <c r="AM5" i="25"/>
  <c r="BV5" i="25" s="1"/>
  <c r="BF46" i="25"/>
  <c r="CD46" i="25"/>
  <c r="AW40" i="25"/>
  <c r="AW17" i="25"/>
  <c r="L20" i="1"/>
  <c r="AW96" i="25"/>
  <c r="AW28" i="25"/>
  <c r="AW100" i="25"/>
  <c r="AW22" i="25"/>
  <c r="AW54" i="25"/>
  <c r="AW61" i="25"/>
  <c r="AW91" i="25"/>
  <c r="AW14" i="25"/>
  <c r="AW24" i="25"/>
  <c r="AW35" i="25"/>
  <c r="AW76" i="25"/>
  <c r="AW31" i="25"/>
  <c r="AW41" i="25"/>
  <c r="AW12" i="25"/>
  <c r="AW42" i="25"/>
  <c r="AW27" i="25"/>
  <c r="AW88" i="25"/>
  <c r="AW6" i="25"/>
  <c r="AW64" i="25"/>
  <c r="AW87" i="25"/>
  <c r="AW36" i="25"/>
  <c r="AW103" i="25"/>
  <c r="AW63" i="25"/>
  <c r="AW62" i="25"/>
  <c r="AW56" i="25"/>
  <c r="AW68" i="25"/>
  <c r="AW94" i="25"/>
  <c r="AW59" i="25"/>
  <c r="AW9" i="25"/>
  <c r="AW26" i="25"/>
  <c r="AW81" i="25"/>
  <c r="AW30" i="25"/>
  <c r="AW11" i="25"/>
  <c r="AW101" i="25"/>
  <c r="AW47" i="25"/>
  <c r="AW37" i="25"/>
  <c r="AW83" i="25"/>
  <c r="AW51" i="25"/>
  <c r="AW86" i="25"/>
  <c r="AW52" i="25"/>
  <c r="AW8" i="25"/>
  <c r="AW71" i="25"/>
  <c r="AW29" i="25"/>
  <c r="AW79" i="25"/>
  <c r="AW78" i="25"/>
  <c r="AW15" i="25"/>
  <c r="AW53" i="25"/>
  <c r="AW48" i="25"/>
  <c r="AW93" i="25"/>
  <c r="AW97" i="25"/>
  <c r="AW21" i="25"/>
  <c r="AW38" i="25"/>
  <c r="AW20" i="25"/>
  <c r="AW92" i="25"/>
  <c r="AW67" i="25"/>
  <c r="AW70" i="25"/>
  <c r="AW105" i="25"/>
  <c r="B94" i="2" s="1"/>
  <c r="E20" i="1" s="1"/>
  <c r="AW49" i="25"/>
  <c r="AW82" i="25"/>
  <c r="AW69" i="25"/>
  <c r="AW44" i="25"/>
  <c r="AW104" i="25"/>
  <c r="AW13" i="25"/>
  <c r="AW102" i="25"/>
  <c r="BT95" i="25"/>
  <c r="CD95" i="25"/>
  <c r="AP216" i="25"/>
  <c r="AR216" i="25"/>
  <c r="BT80" i="25"/>
  <c r="CD80" i="25"/>
  <c r="BT7" i="25"/>
  <c r="BT18" i="25"/>
  <c r="BF66" i="25"/>
  <c r="BF75" i="25"/>
  <c r="BF72" i="25"/>
  <c r="BT90" i="25"/>
  <c r="BF89" i="25"/>
  <c r="BT33" i="25"/>
  <c r="BF16" i="25"/>
  <c r="BT50" i="25"/>
  <c r="BF58" i="25"/>
  <c r="BT32" i="25"/>
  <c r="BF95" i="25"/>
  <c r="BT39" i="25"/>
  <c r="BT46" i="25"/>
  <c r="BT43" i="25"/>
  <c r="AR206" i="25"/>
  <c r="AP206" i="25"/>
  <c r="AW77" i="25"/>
  <c r="AR193" i="25"/>
  <c r="AP193" i="25"/>
  <c r="AR164" i="25"/>
  <c r="AP164" i="25"/>
  <c r="AR231" i="25"/>
  <c r="AP231" i="25"/>
  <c r="AR27" i="25"/>
  <c r="BG27" i="25"/>
  <c r="BH27" i="25"/>
  <c r="AP27" i="25"/>
  <c r="BT27" i="25"/>
  <c r="BF27" i="25"/>
  <c r="AR73" i="25"/>
  <c r="AT73" i="25" s="1"/>
  <c r="AY73" i="25" s="1"/>
  <c r="BG73" i="25"/>
  <c r="BH73" i="25"/>
  <c r="AP73" i="25"/>
  <c r="AR230" i="25"/>
  <c r="AP230" i="25"/>
  <c r="AR118" i="25"/>
  <c r="AP118" i="25"/>
  <c r="AR8" i="25"/>
  <c r="BG8" i="25"/>
  <c r="BH8" i="25"/>
  <c r="AP8" i="25"/>
  <c r="BT8" i="25"/>
  <c r="BF8" i="25"/>
  <c r="AR40" i="25"/>
  <c r="BG40" i="25"/>
  <c r="BH40" i="25"/>
  <c r="AP40" i="25"/>
  <c r="BF40" i="25"/>
  <c r="BT40" i="25"/>
  <c r="AR125" i="25"/>
  <c r="AP125" i="25"/>
  <c r="AR307" i="25"/>
  <c r="AP307" i="25"/>
  <c r="AR137" i="25"/>
  <c r="AP137" i="25"/>
  <c r="AR247" i="25"/>
  <c r="AP247" i="25"/>
  <c r="AR145" i="25"/>
  <c r="AP145" i="25"/>
  <c r="AR202" i="25"/>
  <c r="AP202" i="25"/>
  <c r="AR267" i="25"/>
  <c r="AP267" i="25"/>
  <c r="AR79" i="25"/>
  <c r="BG79" i="25"/>
  <c r="BH79" i="25"/>
  <c r="AP79" i="25"/>
  <c r="BF79" i="25"/>
  <c r="BT79" i="25"/>
  <c r="AW72" i="25"/>
  <c r="AR285" i="25"/>
  <c r="AP285" i="25"/>
  <c r="AR120" i="25"/>
  <c r="AP120" i="25"/>
  <c r="AR176" i="25"/>
  <c r="AP176" i="25"/>
  <c r="AR271" i="25"/>
  <c r="AP271" i="25"/>
  <c r="AW18" i="25"/>
  <c r="AR229" i="25"/>
  <c r="AP229" i="25"/>
  <c r="AR165" i="25"/>
  <c r="AP165" i="25"/>
  <c r="AR70" i="25"/>
  <c r="BG70" i="25"/>
  <c r="BH70" i="25"/>
  <c r="AP70" i="25"/>
  <c r="BF70" i="25"/>
  <c r="BT70" i="25"/>
  <c r="AR228" i="25"/>
  <c r="AP228" i="25"/>
  <c r="AW73" i="25"/>
  <c r="AR166" i="25"/>
  <c r="AP166" i="25"/>
  <c r="AR196" i="25"/>
  <c r="AP196" i="25"/>
  <c r="AR170" i="25"/>
  <c r="AP170" i="25"/>
  <c r="AR244" i="25"/>
  <c r="AP244" i="25"/>
  <c r="AR143" i="25"/>
  <c r="AP143" i="25"/>
  <c r="AR81" i="25"/>
  <c r="BG81" i="25"/>
  <c r="BH81" i="25"/>
  <c r="AP81" i="25"/>
  <c r="BT81" i="25"/>
  <c r="BF81" i="25"/>
  <c r="AW23" i="25"/>
  <c r="AR257" i="25"/>
  <c r="AP257" i="25"/>
  <c r="AR309" i="25"/>
  <c r="AP309" i="25"/>
  <c r="AR102" i="25"/>
  <c r="BG102" i="25"/>
  <c r="BH102" i="25"/>
  <c r="AP102" i="25"/>
  <c r="BT102" i="25"/>
  <c r="BF102" i="25"/>
  <c r="AR85" i="25"/>
  <c r="AT85" i="25" s="1"/>
  <c r="AY85" i="25" s="1"/>
  <c r="BG85" i="25"/>
  <c r="BH85" i="25"/>
  <c r="AP85" i="25"/>
  <c r="AR98" i="25"/>
  <c r="AT98" i="25" s="1"/>
  <c r="AY98" i="25" s="1"/>
  <c r="BG98" i="25"/>
  <c r="BH98" i="25"/>
  <c r="AP98" i="25"/>
  <c r="AW10" i="25"/>
  <c r="AR204" i="25"/>
  <c r="AP204" i="25"/>
  <c r="AR292" i="25"/>
  <c r="AP292" i="25"/>
  <c r="AR124" i="25"/>
  <c r="AP124" i="25"/>
  <c r="AR238" i="25"/>
  <c r="AP238" i="25"/>
  <c r="AR192" i="25"/>
  <c r="AP192" i="25"/>
  <c r="AR54" i="25"/>
  <c r="BG54" i="25"/>
  <c r="BH54" i="25"/>
  <c r="AP54" i="25"/>
  <c r="BT54" i="25"/>
  <c r="BF54" i="25"/>
  <c r="AR60" i="25"/>
  <c r="AT60" i="25" s="1"/>
  <c r="AY60" i="25" s="1"/>
  <c r="BG60" i="25"/>
  <c r="BH60" i="25"/>
  <c r="AP60" i="25"/>
  <c r="AR169" i="25"/>
  <c r="AP169" i="25"/>
  <c r="AR308" i="25"/>
  <c r="AP308" i="25"/>
  <c r="AR161" i="25"/>
  <c r="AP161" i="25"/>
  <c r="AR177" i="25"/>
  <c r="AP177" i="25"/>
  <c r="AR278" i="25"/>
  <c r="AP278" i="25"/>
  <c r="AR115" i="25"/>
  <c r="AP115" i="25"/>
  <c r="AR258" i="25"/>
  <c r="AP258" i="25"/>
  <c r="AR61" i="25"/>
  <c r="BG61" i="25"/>
  <c r="BH61" i="25"/>
  <c r="AP61" i="25"/>
  <c r="BT61" i="25"/>
  <c r="BF61" i="25"/>
  <c r="AR288" i="25"/>
  <c r="AP288" i="25"/>
  <c r="AR71" i="25"/>
  <c r="BG71" i="25"/>
  <c r="BH71" i="25"/>
  <c r="AP71" i="25"/>
  <c r="BF71" i="25"/>
  <c r="BT71" i="25"/>
  <c r="AW34" i="25"/>
  <c r="AR208" i="25"/>
  <c r="AP208" i="25"/>
  <c r="AR128" i="25"/>
  <c r="AP128" i="25"/>
  <c r="AR84" i="25"/>
  <c r="AT84" i="25" s="1"/>
  <c r="AY84" i="25" s="1"/>
  <c r="BG84" i="25"/>
  <c r="BH84" i="25"/>
  <c r="AP84" i="25"/>
  <c r="AW16" i="25"/>
  <c r="AR29" i="25"/>
  <c r="BG29" i="25"/>
  <c r="BH29" i="25"/>
  <c r="AP29" i="25"/>
  <c r="BF29" i="25"/>
  <c r="BT29" i="25"/>
  <c r="AR217" i="25"/>
  <c r="AP217" i="25"/>
  <c r="BF98" i="25"/>
  <c r="AR38" i="25"/>
  <c r="BG38" i="25"/>
  <c r="BH38" i="25"/>
  <c r="AP38" i="25"/>
  <c r="BT38" i="25"/>
  <c r="BF38" i="25"/>
  <c r="AR55" i="25"/>
  <c r="AT55" i="25" s="1"/>
  <c r="AY55" i="25" s="1"/>
  <c r="BG55" i="25"/>
  <c r="BH55" i="25"/>
  <c r="AP55" i="25"/>
  <c r="AR41" i="25"/>
  <c r="BG41" i="25"/>
  <c r="BH41" i="25"/>
  <c r="AP41" i="25"/>
  <c r="BT41" i="25"/>
  <c r="BF41" i="25"/>
  <c r="AR194" i="25"/>
  <c r="AP194" i="25"/>
  <c r="AR22" i="25"/>
  <c r="BG22" i="25"/>
  <c r="BH22" i="25"/>
  <c r="AP22" i="25"/>
  <c r="BF22" i="25"/>
  <c r="BT22" i="25"/>
  <c r="AR260" i="25"/>
  <c r="AP260" i="25"/>
  <c r="AR74" i="25"/>
  <c r="AT74" i="25" s="1"/>
  <c r="AY74" i="25" s="1"/>
  <c r="BG74" i="25"/>
  <c r="BH74" i="25"/>
  <c r="AP74" i="25"/>
  <c r="AR286" i="25"/>
  <c r="AP286" i="25"/>
  <c r="AR264" i="25"/>
  <c r="AP264" i="25"/>
  <c r="AR155" i="25"/>
  <c r="AP155" i="25"/>
  <c r="AR153" i="25"/>
  <c r="AP153" i="25"/>
  <c r="AR135" i="25"/>
  <c r="AP135" i="25"/>
  <c r="AR242" i="25"/>
  <c r="AP242" i="25"/>
  <c r="AR99" i="25"/>
  <c r="AT99" i="25" s="1"/>
  <c r="AY99" i="25" s="1"/>
  <c r="BG99" i="25"/>
  <c r="BH99" i="25"/>
  <c r="AP99" i="25"/>
  <c r="AR132" i="25"/>
  <c r="AP132" i="25"/>
  <c r="AR111" i="25"/>
  <c r="AP111" i="25"/>
  <c r="AR44" i="25"/>
  <c r="BG44" i="25"/>
  <c r="BH44" i="25"/>
  <c r="AP44" i="25"/>
  <c r="BT44" i="25"/>
  <c r="BF44" i="25"/>
  <c r="AR312" i="25"/>
  <c r="AP312" i="25"/>
  <c r="AR80" i="25"/>
  <c r="AT80" i="25" s="1"/>
  <c r="AY80" i="25" s="1"/>
  <c r="BG80" i="25"/>
  <c r="BH80" i="25"/>
  <c r="AP80" i="25"/>
  <c r="AW32" i="25"/>
  <c r="BF55" i="25"/>
  <c r="AR147" i="25"/>
  <c r="AP147" i="25"/>
  <c r="AR237" i="25"/>
  <c r="AP237" i="25"/>
  <c r="AR225" i="25"/>
  <c r="AP225" i="25"/>
  <c r="AR255" i="25"/>
  <c r="AP255" i="25"/>
  <c r="AR298" i="25"/>
  <c r="AP298" i="25"/>
  <c r="AR82" i="25"/>
  <c r="BG82" i="25"/>
  <c r="BH82" i="25"/>
  <c r="AP82" i="25"/>
  <c r="BT82" i="25"/>
  <c r="BF82" i="25"/>
  <c r="AR30" i="25"/>
  <c r="BG30" i="25"/>
  <c r="BH30" i="25"/>
  <c r="AP30" i="25"/>
  <c r="BT30" i="25"/>
  <c r="BF30" i="25"/>
  <c r="AR88" i="25"/>
  <c r="BG88" i="25"/>
  <c r="BH88" i="25"/>
  <c r="AP88" i="25"/>
  <c r="BF88" i="25"/>
  <c r="BT88" i="25"/>
  <c r="AR201" i="25"/>
  <c r="AP201" i="25"/>
  <c r="AW74" i="25"/>
  <c r="AR306" i="25"/>
  <c r="AP306" i="25"/>
  <c r="AR21" i="25"/>
  <c r="BG21" i="25"/>
  <c r="BH21" i="25"/>
  <c r="AP21" i="25"/>
  <c r="BF21" i="25"/>
  <c r="BT21" i="25"/>
  <c r="AR284" i="25"/>
  <c r="AP284" i="25"/>
  <c r="AR305" i="25"/>
  <c r="AP305" i="25"/>
  <c r="AR236" i="25"/>
  <c r="AP236" i="25"/>
  <c r="AR83" i="25"/>
  <c r="BG83" i="25"/>
  <c r="BH83" i="25"/>
  <c r="AP83" i="25"/>
  <c r="BF83" i="25"/>
  <c r="BT83" i="25"/>
  <c r="AR246" i="25"/>
  <c r="AP246" i="25"/>
  <c r="AR220" i="25"/>
  <c r="AP220" i="25"/>
  <c r="BF99" i="25"/>
  <c r="AW99" i="25"/>
  <c r="AR140" i="25"/>
  <c r="AP140" i="25"/>
  <c r="AR47" i="25"/>
  <c r="BG47" i="25"/>
  <c r="BH47" i="25"/>
  <c r="AP47" i="25"/>
  <c r="BT47" i="25"/>
  <c r="BF47" i="25"/>
  <c r="AR179" i="25"/>
  <c r="AP179" i="25"/>
  <c r="AR195" i="25"/>
  <c r="AP195" i="25"/>
  <c r="AR142" i="25"/>
  <c r="AP142" i="25"/>
  <c r="AW84" i="25"/>
  <c r="AR268" i="25"/>
  <c r="AP268" i="25"/>
  <c r="AR261" i="25"/>
  <c r="AP261" i="25"/>
  <c r="AR37" i="25"/>
  <c r="BG37" i="25"/>
  <c r="BH37" i="25"/>
  <c r="AP37" i="25"/>
  <c r="BT37" i="25"/>
  <c r="BF37" i="25"/>
  <c r="AR25" i="25"/>
  <c r="AT25" i="25" s="1"/>
  <c r="AY25" i="25" s="1"/>
  <c r="BG25" i="25"/>
  <c r="BH25" i="25"/>
  <c r="AP25" i="25"/>
  <c r="AR100" i="25"/>
  <c r="BG100" i="25"/>
  <c r="BH100" i="25"/>
  <c r="AP100" i="25"/>
  <c r="BF100" i="25"/>
  <c r="BT100" i="25"/>
  <c r="AR223" i="25"/>
  <c r="AP223" i="25"/>
  <c r="AR240" i="25"/>
  <c r="AP240" i="25"/>
  <c r="AR297" i="25"/>
  <c r="AP297" i="25"/>
  <c r="AR218" i="25"/>
  <c r="AP218" i="25"/>
  <c r="AR302" i="25"/>
  <c r="AP302" i="25"/>
  <c r="AR141" i="25"/>
  <c r="AP141" i="25"/>
  <c r="AR303" i="25"/>
  <c r="AP303" i="25"/>
  <c r="AW66" i="25"/>
  <c r="AR279" i="25"/>
  <c r="AP279" i="25"/>
  <c r="AR10" i="25"/>
  <c r="AT10" i="25" s="1"/>
  <c r="AY10" i="25" s="1"/>
  <c r="BG10" i="25"/>
  <c r="BH10" i="25"/>
  <c r="AP10" i="25"/>
  <c r="AR67" i="25"/>
  <c r="BG67" i="25"/>
  <c r="BH67" i="25"/>
  <c r="AP67" i="25"/>
  <c r="BT67" i="25"/>
  <c r="BF67" i="25"/>
  <c r="AR90" i="25"/>
  <c r="AT90" i="25" s="1"/>
  <c r="AY90" i="25" s="1"/>
  <c r="BG90" i="25"/>
  <c r="BH90" i="25"/>
  <c r="AP90" i="25"/>
  <c r="AR69" i="25"/>
  <c r="BG69" i="25"/>
  <c r="BH69" i="25"/>
  <c r="AP69" i="25"/>
  <c r="BT69" i="25"/>
  <c r="BF69" i="25"/>
  <c r="AR114" i="25"/>
  <c r="AP114" i="25"/>
  <c r="AR296" i="25"/>
  <c r="AP296" i="25"/>
  <c r="AR105" i="25"/>
  <c r="BG105" i="25"/>
  <c r="BH105" i="25"/>
  <c r="AP105" i="25"/>
  <c r="BF105" i="25"/>
  <c r="BT105" i="25"/>
  <c r="AR149" i="25"/>
  <c r="AP149" i="25"/>
  <c r="AR28" i="25"/>
  <c r="BG28" i="25"/>
  <c r="BH28" i="25"/>
  <c r="AP28" i="25"/>
  <c r="BT28" i="25"/>
  <c r="BF28" i="25"/>
  <c r="AR126" i="25"/>
  <c r="AP126" i="25"/>
  <c r="AR200" i="25"/>
  <c r="AP200" i="25"/>
  <c r="AR18" i="25"/>
  <c r="AT18" i="25" s="1"/>
  <c r="AY18" i="25" s="1"/>
  <c r="BG18" i="25"/>
  <c r="BH18" i="25"/>
  <c r="AP18" i="25"/>
  <c r="AR158" i="25"/>
  <c r="AP158" i="25"/>
  <c r="AR290" i="25"/>
  <c r="AP290" i="25"/>
  <c r="AR295" i="25"/>
  <c r="AP295" i="25"/>
  <c r="AR245" i="25"/>
  <c r="AP245" i="25"/>
  <c r="BF25" i="25"/>
  <c r="AR233" i="25"/>
  <c r="AP233" i="25"/>
  <c r="AR273" i="25"/>
  <c r="AP273" i="25"/>
  <c r="AR313" i="25"/>
  <c r="AP313" i="25"/>
  <c r="AR222" i="25"/>
  <c r="AP222" i="25"/>
  <c r="AR121" i="25"/>
  <c r="AP121" i="25"/>
  <c r="AR131" i="25"/>
  <c r="AP131" i="25"/>
  <c r="AW33" i="25"/>
  <c r="AR139" i="25"/>
  <c r="AP139" i="25"/>
  <c r="AW90" i="25"/>
  <c r="AR180" i="25"/>
  <c r="AP180" i="25"/>
  <c r="AR113" i="25"/>
  <c r="AP113" i="25"/>
  <c r="AR56" i="25"/>
  <c r="BG56" i="25"/>
  <c r="BH56" i="25"/>
  <c r="AP56" i="25"/>
  <c r="BF56" i="25"/>
  <c r="BT56" i="25"/>
  <c r="AR272" i="25"/>
  <c r="AP272" i="25"/>
  <c r="AR14" i="25"/>
  <c r="BG14" i="25"/>
  <c r="BH14" i="25"/>
  <c r="AP14" i="25"/>
  <c r="BF14" i="25"/>
  <c r="BT14" i="25"/>
  <c r="AR93" i="25"/>
  <c r="BG93" i="25"/>
  <c r="BH93" i="25"/>
  <c r="AP93" i="25"/>
  <c r="BF93" i="25"/>
  <c r="BT93" i="25"/>
  <c r="AR269" i="25"/>
  <c r="AP269" i="25"/>
  <c r="AR254" i="25"/>
  <c r="AP254" i="25"/>
  <c r="AR136" i="25"/>
  <c r="AP136" i="25"/>
  <c r="AR138" i="25"/>
  <c r="AP138" i="25"/>
  <c r="AR116" i="25"/>
  <c r="AP116" i="25"/>
  <c r="AR156" i="25"/>
  <c r="AP156" i="25"/>
  <c r="AR224" i="25"/>
  <c r="AP224" i="25"/>
  <c r="AR189" i="25"/>
  <c r="AP189" i="25"/>
  <c r="AR265" i="25"/>
  <c r="AP265" i="25"/>
  <c r="AR91" i="25"/>
  <c r="BG91" i="25"/>
  <c r="BH91" i="25"/>
  <c r="AP91" i="25"/>
  <c r="BT91" i="25"/>
  <c r="BF91" i="25"/>
  <c r="AR304" i="25"/>
  <c r="AP304" i="25"/>
  <c r="AR134" i="25"/>
  <c r="AP134" i="25"/>
  <c r="AR190" i="25"/>
  <c r="AP190" i="25"/>
  <c r="AR68" i="25"/>
  <c r="BG68" i="25"/>
  <c r="BH68" i="25"/>
  <c r="AP68" i="25"/>
  <c r="BT68" i="25"/>
  <c r="BF68" i="25"/>
  <c r="AR199" i="25"/>
  <c r="AP199" i="25"/>
  <c r="AR207" i="25"/>
  <c r="AP207" i="25"/>
  <c r="AR86" i="25"/>
  <c r="BG86" i="25"/>
  <c r="BH86" i="25"/>
  <c r="AP86" i="25"/>
  <c r="BT86" i="25"/>
  <c r="BF86" i="25"/>
  <c r="AR256" i="25"/>
  <c r="AP256" i="25"/>
  <c r="AR281" i="25"/>
  <c r="AP281" i="25"/>
  <c r="AR197" i="25"/>
  <c r="AP197" i="25"/>
  <c r="AR183" i="25"/>
  <c r="AP183" i="25"/>
  <c r="AR274" i="25"/>
  <c r="AP274" i="25"/>
  <c r="AR148" i="25"/>
  <c r="AP148" i="25"/>
  <c r="AR13" i="25"/>
  <c r="BG13" i="25"/>
  <c r="BH13" i="25"/>
  <c r="AP13" i="25"/>
  <c r="BT13" i="25"/>
  <c r="BF13" i="25"/>
  <c r="AR253" i="25"/>
  <c r="AP253" i="25"/>
  <c r="AR24" i="25"/>
  <c r="BG24" i="25"/>
  <c r="BH24" i="25"/>
  <c r="AP24" i="25"/>
  <c r="BT24" i="25"/>
  <c r="BF24" i="25"/>
  <c r="AR289" i="25"/>
  <c r="AP289" i="25"/>
  <c r="AR181" i="25"/>
  <c r="AP181" i="25"/>
  <c r="AR65" i="25"/>
  <c r="AT65" i="25" s="1"/>
  <c r="AY65" i="25" s="1"/>
  <c r="BG65" i="25"/>
  <c r="BH65" i="25"/>
  <c r="AP65" i="25"/>
  <c r="AW80" i="25"/>
  <c r="AR45" i="25"/>
  <c r="AT45" i="25" s="1"/>
  <c r="AY45" i="25" s="1"/>
  <c r="BG45" i="25"/>
  <c r="BH45" i="25"/>
  <c r="AP45" i="25"/>
  <c r="AR234" i="25"/>
  <c r="AP234" i="25"/>
  <c r="AR188" i="25"/>
  <c r="AP188" i="25"/>
  <c r="AR129" i="25"/>
  <c r="AP129" i="25"/>
  <c r="AR314" i="25"/>
  <c r="AP314" i="25"/>
  <c r="AR152" i="25"/>
  <c r="AP152" i="25"/>
  <c r="AR34" i="25"/>
  <c r="AT34" i="25" s="1"/>
  <c r="AY34" i="25" s="1"/>
  <c r="BG34" i="25"/>
  <c r="BH34" i="25"/>
  <c r="AP34" i="25"/>
  <c r="AW45" i="25"/>
  <c r="AW43" i="25"/>
  <c r="AR87" i="25"/>
  <c r="BG87" i="25"/>
  <c r="BH87" i="25"/>
  <c r="AP87" i="25"/>
  <c r="BF87" i="25"/>
  <c r="BT87" i="25"/>
  <c r="AR31" i="25"/>
  <c r="BG31" i="25"/>
  <c r="BH31" i="25"/>
  <c r="AP31" i="25"/>
  <c r="BT31" i="25"/>
  <c r="BF31" i="25"/>
  <c r="AR259" i="25"/>
  <c r="AP259" i="25"/>
  <c r="AR94" i="25"/>
  <c r="BG94" i="25"/>
  <c r="BH94" i="25"/>
  <c r="AP94" i="25"/>
  <c r="BF94" i="25"/>
  <c r="BT94" i="25"/>
  <c r="AR42" i="25"/>
  <c r="BG42" i="25"/>
  <c r="BH42" i="25"/>
  <c r="AP42" i="25"/>
  <c r="BF42" i="25"/>
  <c r="BT42" i="25"/>
  <c r="AR294" i="25"/>
  <c r="AP294" i="25"/>
  <c r="AW85" i="25"/>
  <c r="AR232" i="25"/>
  <c r="AP232" i="25"/>
  <c r="AR77" i="25"/>
  <c r="AT77" i="25" s="1"/>
  <c r="AY77" i="25" s="1"/>
  <c r="BG77" i="25"/>
  <c r="BH77" i="25"/>
  <c r="AP77" i="25"/>
  <c r="AR299" i="25"/>
  <c r="AP299" i="25"/>
  <c r="AR243" i="25"/>
  <c r="AP243" i="25"/>
  <c r="AR226" i="25"/>
  <c r="AP226" i="25"/>
  <c r="AR316" i="25"/>
  <c r="AP316" i="25"/>
  <c r="AR167" i="25"/>
  <c r="AP167" i="25"/>
  <c r="AR283" i="25"/>
  <c r="AP283" i="25"/>
  <c r="AR203" i="25"/>
  <c r="AP203" i="25"/>
  <c r="AR96" i="25"/>
  <c r="BG96" i="25"/>
  <c r="BH96" i="25"/>
  <c r="AP96" i="25"/>
  <c r="BF96" i="25"/>
  <c r="BT96" i="25"/>
  <c r="AR154" i="25"/>
  <c r="AP154" i="25"/>
  <c r="AR19" i="25"/>
  <c r="AT19" i="25" s="1"/>
  <c r="AY19" i="25" s="1"/>
  <c r="BG19" i="25"/>
  <c r="BH19" i="25"/>
  <c r="AP19" i="25"/>
  <c r="AR52" i="25"/>
  <c r="BG52" i="25"/>
  <c r="BH52" i="25"/>
  <c r="AP52" i="25"/>
  <c r="BT52" i="25"/>
  <c r="BF52" i="25"/>
  <c r="BF65" i="25"/>
  <c r="AW50" i="25"/>
  <c r="AR119" i="25"/>
  <c r="AP119" i="25"/>
  <c r="AR101" i="25"/>
  <c r="BG101" i="25"/>
  <c r="BH101" i="25"/>
  <c r="AP101" i="25"/>
  <c r="BT101" i="25"/>
  <c r="BF101" i="25"/>
  <c r="AR144" i="25"/>
  <c r="AP144" i="25"/>
  <c r="AW19" i="25"/>
  <c r="AR263" i="25"/>
  <c r="AP263" i="25"/>
  <c r="AW89" i="25"/>
  <c r="AR239" i="25"/>
  <c r="AP239" i="25"/>
  <c r="AR249" i="25"/>
  <c r="AP249" i="25"/>
  <c r="AR97" i="25"/>
  <c r="BG97" i="25"/>
  <c r="BH97" i="25"/>
  <c r="AP97" i="25"/>
  <c r="BT97" i="25"/>
  <c r="BF97" i="25"/>
  <c r="AR241" i="25"/>
  <c r="AP241" i="25"/>
  <c r="AR287" i="25"/>
  <c r="AP287" i="25"/>
  <c r="AR89" i="25"/>
  <c r="AT89" i="25" s="1"/>
  <c r="AY89" i="25" s="1"/>
  <c r="BG89" i="25"/>
  <c r="BH89" i="25"/>
  <c r="AP89" i="25"/>
  <c r="AR276" i="25"/>
  <c r="AP276" i="25"/>
  <c r="AR184" i="25"/>
  <c r="AP184" i="25"/>
  <c r="BT45" i="25"/>
  <c r="AW98" i="25"/>
  <c r="BT73" i="25"/>
  <c r="AR182" i="25"/>
  <c r="AP182" i="25"/>
  <c r="AR35" i="25"/>
  <c r="BG35" i="25"/>
  <c r="BH35" i="25"/>
  <c r="AP35" i="25"/>
  <c r="BT35" i="25"/>
  <c r="BF35" i="25"/>
  <c r="AR57" i="25"/>
  <c r="AT57" i="25" s="1"/>
  <c r="AY57" i="25" s="1"/>
  <c r="BG57" i="25"/>
  <c r="BH57" i="25"/>
  <c r="AP57" i="25"/>
  <c r="AW46" i="25"/>
  <c r="AR310" i="25"/>
  <c r="AP310" i="25"/>
  <c r="BF57" i="25"/>
  <c r="AR159" i="25"/>
  <c r="AP159" i="25"/>
  <c r="BT60" i="25"/>
  <c r="AR59" i="25"/>
  <c r="BG59" i="25"/>
  <c r="BH59" i="25"/>
  <c r="AP59" i="25"/>
  <c r="BT59" i="25"/>
  <c r="BF59" i="25"/>
  <c r="AR162" i="25"/>
  <c r="AP162" i="25"/>
  <c r="AR275" i="25"/>
  <c r="AP275" i="25"/>
  <c r="AR315" i="25"/>
  <c r="AP315" i="25"/>
  <c r="BT77" i="25"/>
  <c r="BF85" i="25"/>
  <c r="AR219" i="25"/>
  <c r="AP219" i="25"/>
  <c r="AR123" i="25"/>
  <c r="AP123" i="25"/>
  <c r="AR300" i="25"/>
  <c r="AP300" i="25"/>
  <c r="AR33" i="25"/>
  <c r="AT33" i="25" s="1"/>
  <c r="AY33" i="25" s="1"/>
  <c r="BG33" i="25"/>
  <c r="BH33" i="25"/>
  <c r="AP33" i="25"/>
  <c r="AR50" i="25"/>
  <c r="AT50" i="25" s="1"/>
  <c r="AY50" i="25" s="1"/>
  <c r="BG50" i="25"/>
  <c r="BH50" i="25"/>
  <c r="AP50" i="25"/>
  <c r="AR301" i="25"/>
  <c r="AP301" i="25"/>
  <c r="AR63" i="25"/>
  <c r="BG63" i="25"/>
  <c r="BH63" i="25"/>
  <c r="AP63" i="25"/>
  <c r="BF63" i="25"/>
  <c r="BT63" i="25"/>
  <c r="AR146" i="25"/>
  <c r="AP146" i="25"/>
  <c r="AW7" i="25"/>
  <c r="AR262" i="25"/>
  <c r="AP262" i="25"/>
  <c r="AW55" i="25"/>
  <c r="AR205" i="25"/>
  <c r="AP205" i="25"/>
  <c r="AR175" i="25"/>
  <c r="AP175" i="25"/>
  <c r="AR163" i="25"/>
  <c r="AP163" i="25"/>
  <c r="AR172" i="25"/>
  <c r="AP172" i="25"/>
  <c r="AR248" i="25"/>
  <c r="AP248" i="25"/>
  <c r="AR209" i="25"/>
  <c r="AP209" i="25"/>
  <c r="AR48" i="25"/>
  <c r="BG48" i="25"/>
  <c r="BH48" i="25"/>
  <c r="AP48" i="25"/>
  <c r="BF48" i="25"/>
  <c r="BT48" i="25"/>
  <c r="AR235" i="25"/>
  <c r="AP235" i="25"/>
  <c r="BF74" i="25"/>
  <c r="BT99" i="25"/>
  <c r="AW95" i="25"/>
  <c r="AR187" i="25"/>
  <c r="AP187" i="25"/>
  <c r="AR23" i="25"/>
  <c r="AT23" i="25" s="1"/>
  <c r="AY23" i="25" s="1"/>
  <c r="BG23" i="25"/>
  <c r="BH23" i="25"/>
  <c r="AP23" i="25"/>
  <c r="AR46" i="25"/>
  <c r="AT46" i="25" s="1"/>
  <c r="AY46" i="25" s="1"/>
  <c r="BG46" i="25"/>
  <c r="BH46" i="25"/>
  <c r="AP46" i="25"/>
  <c r="AR130" i="25"/>
  <c r="AP130" i="25"/>
  <c r="AR76" i="25"/>
  <c r="BG76" i="25"/>
  <c r="BH76" i="25"/>
  <c r="AP76" i="25"/>
  <c r="BT76" i="25"/>
  <c r="BF76" i="25"/>
  <c r="AR36" i="25"/>
  <c r="BG36" i="25"/>
  <c r="BH36" i="25"/>
  <c r="AP36" i="25"/>
  <c r="BF36" i="25"/>
  <c r="BT36" i="25"/>
  <c r="AW39" i="25"/>
  <c r="BT84" i="25"/>
  <c r="AW75" i="25"/>
  <c r="AW65" i="25"/>
  <c r="AR12" i="25"/>
  <c r="BG12" i="25"/>
  <c r="BH12" i="25"/>
  <c r="AP12" i="25"/>
  <c r="BT12" i="25"/>
  <c r="BF12" i="25"/>
  <c r="BG6" i="25"/>
  <c r="AR6" i="25"/>
  <c r="BH6" i="25"/>
  <c r="AP6" i="25"/>
  <c r="BF6" i="25"/>
  <c r="BT6" i="25"/>
  <c r="AR280" i="25"/>
  <c r="AP280" i="25"/>
  <c r="AR185" i="25"/>
  <c r="AP185" i="25"/>
  <c r="AR62" i="25"/>
  <c r="BG62" i="25"/>
  <c r="BH62" i="25"/>
  <c r="AP62" i="25"/>
  <c r="BT62" i="25"/>
  <c r="BF62" i="25"/>
  <c r="AR227" i="25"/>
  <c r="AP227" i="25"/>
  <c r="AR198" i="25"/>
  <c r="AP198" i="25"/>
  <c r="AR133" i="25"/>
  <c r="AP133" i="25"/>
  <c r="AR43" i="25"/>
  <c r="AT43" i="25" s="1"/>
  <c r="AY43" i="25" s="1"/>
  <c r="BG43" i="25"/>
  <c r="BH43" i="25"/>
  <c r="AP43" i="25"/>
  <c r="AR221" i="25"/>
  <c r="AP221" i="25"/>
  <c r="AR122" i="25"/>
  <c r="AP122" i="25"/>
  <c r="AR168" i="25"/>
  <c r="AP168" i="25"/>
  <c r="BT19" i="25"/>
  <c r="AR11" i="25"/>
  <c r="BG11" i="25"/>
  <c r="BH11" i="25"/>
  <c r="AP11" i="25"/>
  <c r="BT11" i="25"/>
  <c r="BF11" i="25"/>
  <c r="BF80" i="25"/>
  <c r="AR104" i="25"/>
  <c r="BG104" i="25"/>
  <c r="BH104" i="25"/>
  <c r="AP104" i="25"/>
  <c r="BT104" i="25"/>
  <c r="BF104" i="25"/>
  <c r="BG9" i="25"/>
  <c r="AR9" i="25"/>
  <c r="BH9" i="25"/>
  <c r="AP9" i="25"/>
  <c r="BF9" i="25"/>
  <c r="BT9" i="25"/>
  <c r="AR32" i="25"/>
  <c r="AT32" i="25" s="1"/>
  <c r="AY32" i="25" s="1"/>
  <c r="BG32" i="25"/>
  <c r="BH32" i="25"/>
  <c r="AP32" i="25"/>
  <c r="AR92" i="25"/>
  <c r="BG92" i="25"/>
  <c r="BH92" i="25"/>
  <c r="AP92" i="25"/>
  <c r="BF92" i="25"/>
  <c r="BT92" i="25"/>
  <c r="AR277" i="25"/>
  <c r="AP277" i="25"/>
  <c r="AR58" i="25"/>
  <c r="AT58" i="25" s="1"/>
  <c r="AY58" i="25" s="1"/>
  <c r="BG58" i="25"/>
  <c r="BH58" i="25"/>
  <c r="AP58" i="25"/>
  <c r="BT34" i="25"/>
  <c r="AR72" i="25"/>
  <c r="AT72" i="25" s="1"/>
  <c r="AY72" i="25" s="1"/>
  <c r="BG72" i="25"/>
  <c r="BH72" i="25"/>
  <c r="AP72" i="25"/>
  <c r="AR117" i="25"/>
  <c r="AP117" i="25"/>
  <c r="AR160" i="25"/>
  <c r="AP160" i="25"/>
  <c r="AR49" i="25"/>
  <c r="BG49" i="25"/>
  <c r="BH49" i="25"/>
  <c r="AP49" i="25"/>
  <c r="BF49" i="25"/>
  <c r="BT49" i="25"/>
  <c r="AR291" i="25"/>
  <c r="AP291" i="25"/>
  <c r="AR191" i="25"/>
  <c r="AP191" i="25"/>
  <c r="AR150" i="25"/>
  <c r="AP150" i="25"/>
  <c r="AR75" i="25"/>
  <c r="AT75" i="25" s="1"/>
  <c r="AY75" i="25" s="1"/>
  <c r="BG75" i="25"/>
  <c r="BH75" i="25"/>
  <c r="AP75" i="25"/>
  <c r="AR151" i="25"/>
  <c r="AP151" i="25"/>
  <c r="AR266" i="25"/>
  <c r="AP266" i="25"/>
  <c r="AR171" i="25"/>
  <c r="AP171" i="25"/>
  <c r="AR95" i="25"/>
  <c r="AT95" i="25" s="1"/>
  <c r="AY95" i="25" s="1"/>
  <c r="BG95" i="25"/>
  <c r="BH95" i="25"/>
  <c r="AP95" i="25"/>
  <c r="AR112" i="25"/>
  <c r="AP112" i="25"/>
  <c r="AR7" i="25"/>
  <c r="AT7" i="25" s="1"/>
  <c r="AY7" i="25" s="1"/>
  <c r="BG7" i="25"/>
  <c r="BH7" i="25"/>
  <c r="AP7" i="25"/>
  <c r="AR51" i="25"/>
  <c r="BG51" i="25"/>
  <c r="BH51" i="25"/>
  <c r="AP51" i="25"/>
  <c r="BT51" i="25"/>
  <c r="BF51" i="25"/>
  <c r="AR270" i="25"/>
  <c r="AP270" i="25"/>
  <c r="AR282" i="25"/>
  <c r="AP282" i="25"/>
  <c r="AR186" i="25"/>
  <c r="AP186" i="25"/>
  <c r="BF45" i="25"/>
  <c r="AR64" i="25"/>
  <c r="BG64" i="25"/>
  <c r="BH64" i="25"/>
  <c r="AP64" i="25"/>
  <c r="BT64" i="25"/>
  <c r="BF64" i="25"/>
  <c r="AW25" i="25"/>
  <c r="BF73" i="25"/>
  <c r="AR252" i="25"/>
  <c r="AP252" i="25"/>
  <c r="AR16" i="25"/>
  <c r="AT16" i="25" s="1"/>
  <c r="AY16" i="25" s="1"/>
  <c r="BG16" i="25"/>
  <c r="BH16" i="25"/>
  <c r="AP16" i="25"/>
  <c r="AR251" i="25"/>
  <c r="AP251" i="25"/>
  <c r="AR20" i="25"/>
  <c r="BG20" i="25"/>
  <c r="BH20" i="25"/>
  <c r="AP20" i="25"/>
  <c r="BT20" i="25"/>
  <c r="BF20" i="25"/>
  <c r="AR39" i="25"/>
  <c r="AT39" i="25" s="1"/>
  <c r="AY39" i="25" s="1"/>
  <c r="BG39" i="25"/>
  <c r="BH39" i="25"/>
  <c r="AP39" i="25"/>
  <c r="AR53" i="25"/>
  <c r="BG53" i="25"/>
  <c r="BH53" i="25"/>
  <c r="AP53" i="25"/>
  <c r="BT53" i="25"/>
  <c r="BF53" i="25"/>
  <c r="AR78" i="25"/>
  <c r="BG78" i="25"/>
  <c r="BH78" i="25"/>
  <c r="AP78" i="25"/>
  <c r="BF78" i="25"/>
  <c r="BT78" i="25"/>
  <c r="AR250" i="25"/>
  <c r="AP250" i="25"/>
  <c r="AR66" i="25"/>
  <c r="AT66" i="25" s="1"/>
  <c r="AY66" i="25" s="1"/>
  <c r="BG66" i="25"/>
  <c r="BH66" i="25"/>
  <c r="AP66" i="25"/>
  <c r="AR17" i="25"/>
  <c r="BG17" i="25"/>
  <c r="BH17" i="25"/>
  <c r="AP17" i="25"/>
  <c r="BT17" i="25"/>
  <c r="BF17" i="25"/>
  <c r="AW58" i="25"/>
  <c r="BF23" i="25"/>
  <c r="AR178" i="25"/>
  <c r="AP178" i="25"/>
  <c r="AR210" i="25"/>
  <c r="AP210" i="25"/>
  <c r="AR15" i="25"/>
  <c r="BG15" i="25"/>
  <c r="BH15" i="25"/>
  <c r="AP15" i="25"/>
  <c r="BF15" i="25"/>
  <c r="BT15" i="25"/>
  <c r="AR157" i="25"/>
  <c r="AP157" i="25"/>
  <c r="AW57" i="25"/>
  <c r="AR103" i="25"/>
  <c r="BG103" i="25"/>
  <c r="BH103" i="25"/>
  <c r="AP103" i="25"/>
  <c r="BT103" i="25"/>
  <c r="BF103" i="25"/>
  <c r="AR311" i="25"/>
  <c r="AP311" i="25"/>
  <c r="AW60" i="25"/>
  <c r="AR173" i="25"/>
  <c r="AP173" i="25"/>
  <c r="AR26" i="25"/>
  <c r="BG26" i="25"/>
  <c r="BH26" i="25"/>
  <c r="AP26" i="25"/>
  <c r="BF26" i="25"/>
  <c r="BT26" i="25"/>
  <c r="AR127" i="25"/>
  <c r="AP127" i="25"/>
  <c r="AR293" i="25"/>
  <c r="AP293" i="25"/>
  <c r="BT10" i="25"/>
  <c r="AR174" i="25"/>
  <c r="AP174" i="25"/>
  <c r="BT19" i="24"/>
  <c r="BT36" i="24"/>
  <c r="BT40" i="24"/>
  <c r="BT18" i="24"/>
  <c r="BH82" i="24"/>
  <c r="BT82" i="24"/>
  <c r="BH68" i="24"/>
  <c r="BT68" i="24"/>
  <c r="BH83" i="24"/>
  <c r="BT83" i="24"/>
  <c r="BH89" i="24"/>
  <c r="BT89" i="24"/>
  <c r="BH79" i="24"/>
  <c r="BT79" i="24"/>
  <c r="BH32" i="24"/>
  <c r="BT32" i="24"/>
  <c r="BH56" i="24"/>
  <c r="BT56" i="24"/>
  <c r="BH63" i="24"/>
  <c r="BT63" i="24"/>
  <c r="BH29" i="24"/>
  <c r="BT29" i="24"/>
  <c r="BT46" i="24"/>
  <c r="BH74" i="24"/>
  <c r="BT74" i="24"/>
  <c r="BH59" i="24"/>
  <c r="BT59" i="24"/>
  <c r="BH96" i="24"/>
  <c r="BT96" i="24"/>
  <c r="BH31" i="24"/>
  <c r="BT31" i="24"/>
  <c r="BH100" i="24"/>
  <c r="BT100" i="24"/>
  <c r="BH54" i="24"/>
  <c r="BT54" i="24"/>
  <c r="BH92" i="24"/>
  <c r="BT92" i="24"/>
  <c r="BH72" i="24"/>
  <c r="BT72" i="24"/>
  <c r="BH42" i="24"/>
  <c r="BT42" i="24"/>
  <c r="BT21" i="24"/>
  <c r="BT28" i="24"/>
  <c r="BH85" i="24"/>
  <c r="AS40" i="24"/>
  <c r="BI32" i="24"/>
  <c r="AS32" i="24"/>
  <c r="AW32" i="24" s="1"/>
  <c r="AY32" i="24" s="1"/>
  <c r="AZ32" i="24" s="1"/>
  <c r="BJ32" i="24"/>
  <c r="AQ40" i="24"/>
  <c r="BI40" i="24"/>
  <c r="BJ40" i="24"/>
  <c r="AQ32" i="24"/>
  <c r="AS201" i="24"/>
  <c r="AQ201" i="24"/>
  <c r="AS202" i="24"/>
  <c r="AQ202" i="24"/>
  <c r="CD208" i="24"/>
  <c r="AS200" i="24"/>
  <c r="CD200" i="24"/>
  <c r="AS197" i="24"/>
  <c r="AQ197" i="24"/>
  <c r="AS185" i="24"/>
  <c r="AQ185" i="24"/>
  <c r="AS183" i="24"/>
  <c r="AQ183" i="24"/>
  <c r="AS187" i="24"/>
  <c r="AQ187" i="24"/>
  <c r="AS190" i="24"/>
  <c r="AQ190" i="24"/>
  <c r="BH18" i="24"/>
  <c r="BI53" i="24"/>
  <c r="BH53" i="24"/>
  <c r="BJ56" i="24"/>
  <c r="BI56" i="24"/>
  <c r="BJ63" i="24"/>
  <c r="BI63" i="24"/>
  <c r="BJ29" i="24"/>
  <c r="BI29" i="24"/>
  <c r="BJ100" i="24"/>
  <c r="BI100" i="24"/>
  <c r="BJ36" i="24"/>
  <c r="BI36" i="24"/>
  <c r="BJ54" i="24"/>
  <c r="BI54" i="24"/>
  <c r="BJ92" i="24"/>
  <c r="BI92" i="24"/>
  <c r="BJ72" i="24"/>
  <c r="BI72" i="24"/>
  <c r="BJ85" i="24"/>
  <c r="BI85" i="24"/>
  <c r="BJ42" i="24"/>
  <c r="BI42" i="24"/>
  <c r="BJ82" i="24"/>
  <c r="BI82" i="24"/>
  <c r="BJ74" i="24"/>
  <c r="BI74" i="24"/>
  <c r="BJ68" i="24"/>
  <c r="BI68" i="24"/>
  <c r="BJ59" i="24"/>
  <c r="BI59" i="24"/>
  <c r="BJ96" i="24"/>
  <c r="BI96" i="24"/>
  <c r="BJ83" i="24"/>
  <c r="BI83" i="24"/>
  <c r="BJ28" i="24"/>
  <c r="BI28" i="24"/>
  <c r="BJ89" i="24"/>
  <c r="BI89" i="24"/>
  <c r="BJ21" i="24"/>
  <c r="BI21" i="24"/>
  <c r="BJ46" i="24"/>
  <c r="BI46" i="24"/>
  <c r="BJ79" i="24"/>
  <c r="BI79" i="24"/>
  <c r="BJ19" i="24"/>
  <c r="BI19" i="24"/>
  <c r="BJ31" i="24"/>
  <c r="BI31" i="24"/>
  <c r="AQ18" i="24"/>
  <c r="BJ18" i="24"/>
  <c r="AS53" i="24"/>
  <c r="AW53" i="24" s="1"/>
  <c r="AY53" i="24" s="1"/>
  <c r="AZ53" i="24" s="1"/>
  <c r="BJ53" i="24"/>
  <c r="AS18" i="24"/>
  <c r="AQ53" i="24"/>
  <c r="AQ100" i="24"/>
  <c r="AS100" i="24"/>
  <c r="AQ36" i="24"/>
  <c r="AS36" i="24"/>
  <c r="AQ257" i="24"/>
  <c r="AS257" i="24"/>
  <c r="AQ304" i="24"/>
  <c r="AS304" i="24"/>
  <c r="AQ249" i="24"/>
  <c r="AS249" i="24"/>
  <c r="AQ310" i="24"/>
  <c r="AS310" i="24"/>
  <c r="AQ288" i="24"/>
  <c r="AS288" i="24"/>
  <c r="AQ248" i="24"/>
  <c r="AS248" i="24"/>
  <c r="AQ247" i="24"/>
  <c r="AS247" i="24"/>
  <c r="AQ245" i="24"/>
  <c r="AS245" i="24"/>
  <c r="AQ126" i="24"/>
  <c r="AS126" i="24"/>
  <c r="AQ164" i="24"/>
  <c r="AS164" i="24"/>
  <c r="AQ142" i="24"/>
  <c r="AS142" i="24"/>
  <c r="AQ135" i="24"/>
  <c r="AS135" i="24"/>
  <c r="AQ137" i="24"/>
  <c r="AS137" i="24"/>
  <c r="AQ179" i="24"/>
  <c r="AS179" i="24"/>
  <c r="AQ85" i="24"/>
  <c r="AS85" i="24"/>
  <c r="AQ42" i="24"/>
  <c r="AS42" i="24"/>
  <c r="AQ230" i="24"/>
  <c r="AS230" i="24"/>
  <c r="AQ280" i="24"/>
  <c r="AS280" i="24"/>
  <c r="AQ240" i="24"/>
  <c r="AS240" i="24"/>
  <c r="AQ276" i="24"/>
  <c r="AS276" i="24"/>
  <c r="AQ219" i="24"/>
  <c r="AS219" i="24"/>
  <c r="AQ271" i="24"/>
  <c r="AS271" i="24"/>
  <c r="AQ282" i="24"/>
  <c r="AS282" i="24"/>
  <c r="AQ220" i="24"/>
  <c r="AS220" i="24"/>
  <c r="AQ243" i="24"/>
  <c r="AS243" i="24"/>
  <c r="AQ275" i="24"/>
  <c r="AS275" i="24"/>
  <c r="AQ270" i="24"/>
  <c r="AS270" i="24"/>
  <c r="AQ235" i="24"/>
  <c r="AS235" i="24"/>
  <c r="AQ221" i="24"/>
  <c r="AS221" i="24"/>
  <c r="AQ59" i="24"/>
  <c r="AS59" i="24"/>
  <c r="AQ96" i="24"/>
  <c r="AS96" i="24"/>
  <c r="AQ173" i="24"/>
  <c r="AS173" i="24"/>
  <c r="AQ120" i="24"/>
  <c r="AS120" i="24"/>
  <c r="AQ138" i="24"/>
  <c r="AS138" i="24"/>
  <c r="AQ127" i="24"/>
  <c r="AS127" i="24"/>
  <c r="AQ178" i="24"/>
  <c r="AS178" i="24"/>
  <c r="AQ28" i="24"/>
  <c r="AS28" i="24"/>
  <c r="AQ89" i="24"/>
  <c r="AS89" i="24"/>
  <c r="AQ21" i="24"/>
  <c r="AS21" i="24"/>
  <c r="AQ268" i="24"/>
  <c r="AS268" i="24"/>
  <c r="AQ254" i="24"/>
  <c r="AS254" i="24"/>
  <c r="AQ299" i="24"/>
  <c r="AS299" i="24"/>
  <c r="AQ293" i="24"/>
  <c r="AS293" i="24"/>
  <c r="AQ251" i="24"/>
  <c r="AS251" i="24"/>
  <c r="AQ294" i="24"/>
  <c r="AS294" i="24"/>
  <c r="AQ229" i="24"/>
  <c r="AS229" i="24"/>
  <c r="AQ252" i="24"/>
  <c r="AS252" i="24"/>
  <c r="AQ273" i="24"/>
  <c r="AS273" i="24"/>
  <c r="AQ244" i="24"/>
  <c r="AS244" i="24"/>
  <c r="AQ253" i="24"/>
  <c r="AS253" i="24"/>
  <c r="AQ259" i="24"/>
  <c r="AS259" i="24"/>
  <c r="AQ279" i="24"/>
  <c r="AS279" i="24"/>
  <c r="AQ274" i="24"/>
  <c r="AS274" i="24"/>
  <c r="AQ267" i="24"/>
  <c r="AS267" i="24"/>
  <c r="AQ246" i="24"/>
  <c r="AS246" i="24"/>
  <c r="AQ223" i="24"/>
  <c r="AS223" i="24"/>
  <c r="AQ216" i="24"/>
  <c r="AS216" i="24"/>
  <c r="AQ222" i="24"/>
  <c r="AS222" i="24"/>
  <c r="AQ46" i="24"/>
  <c r="AS46" i="24"/>
  <c r="AQ139" i="24"/>
  <c r="AS139" i="24"/>
  <c r="AQ148" i="24"/>
  <c r="AS148" i="24"/>
  <c r="AQ300" i="24"/>
  <c r="AS300" i="24"/>
  <c r="AQ79" i="24"/>
  <c r="AS79" i="24"/>
  <c r="AQ171" i="24"/>
  <c r="AS171" i="24"/>
  <c r="AQ145" i="24"/>
  <c r="AS145" i="24"/>
  <c r="AQ19" i="24"/>
  <c r="AS19" i="24"/>
  <c r="AQ31" i="24"/>
  <c r="AS31" i="24"/>
  <c r="AQ283" i="24"/>
  <c r="AS283" i="24"/>
  <c r="AQ301" i="24"/>
  <c r="AS301" i="24"/>
  <c r="AQ314" i="24"/>
  <c r="AS314" i="24"/>
  <c r="AQ261" i="24"/>
  <c r="AS261" i="24"/>
  <c r="AQ297" i="24"/>
  <c r="AS297" i="24"/>
  <c r="AQ302" i="24"/>
  <c r="AS302" i="24"/>
  <c r="AQ54" i="24"/>
  <c r="AS54" i="24"/>
  <c r="AQ92" i="24"/>
  <c r="AS92" i="24"/>
  <c r="AQ140" i="24"/>
  <c r="AS140" i="24"/>
  <c r="AQ125" i="24"/>
  <c r="AS125" i="24"/>
  <c r="AQ111" i="24"/>
  <c r="AS111" i="24"/>
  <c r="AQ72" i="24"/>
  <c r="AS72" i="24"/>
  <c r="AQ143" i="24"/>
  <c r="AS143" i="24"/>
  <c r="AQ175" i="24"/>
  <c r="AS175" i="24"/>
  <c r="AQ154" i="24"/>
  <c r="AS154" i="24"/>
  <c r="AQ290" i="24"/>
  <c r="AS290" i="24"/>
  <c r="AQ303" i="24"/>
  <c r="AS303" i="24"/>
  <c r="AQ286" i="24"/>
  <c r="AS286" i="24"/>
  <c r="AQ218" i="24"/>
  <c r="AS218" i="24"/>
  <c r="AQ228" i="24"/>
  <c r="AS228" i="24"/>
  <c r="AQ258" i="24"/>
  <c r="AS258" i="24"/>
  <c r="AQ285" i="24"/>
  <c r="AS285" i="24"/>
  <c r="AQ316" i="24"/>
  <c r="AS316" i="24"/>
  <c r="AQ82" i="24"/>
  <c r="AS82" i="24"/>
  <c r="AQ74" i="24"/>
  <c r="AS74" i="24"/>
  <c r="AQ68" i="24"/>
  <c r="AS68" i="24"/>
  <c r="AQ160" i="24"/>
  <c r="AS160" i="24"/>
  <c r="AQ121" i="24"/>
  <c r="AS121" i="24"/>
  <c r="AQ118" i="24"/>
  <c r="AS118" i="24"/>
  <c r="AQ113" i="24"/>
  <c r="AS113" i="24"/>
  <c r="AQ124" i="24"/>
  <c r="AS124" i="24"/>
  <c r="AQ144" i="24"/>
  <c r="AS144" i="24"/>
  <c r="AQ83" i="24"/>
  <c r="AS83" i="24"/>
  <c r="AQ56" i="24"/>
  <c r="AS56" i="24"/>
  <c r="AQ272" i="24"/>
  <c r="AS272" i="24"/>
  <c r="AQ277" i="24"/>
  <c r="AS277" i="24"/>
  <c r="AQ281" i="24"/>
  <c r="AS281" i="24"/>
  <c r="AQ239" i="24"/>
  <c r="AS239" i="24"/>
  <c r="AQ309" i="24"/>
  <c r="AS309" i="24"/>
  <c r="AQ234" i="24"/>
  <c r="AS234" i="24"/>
  <c r="AQ241" i="24"/>
  <c r="AS241" i="24"/>
  <c r="AQ227" i="24"/>
  <c r="AS227" i="24"/>
  <c r="AQ298" i="24"/>
  <c r="AS298" i="24"/>
  <c r="AQ287" i="24"/>
  <c r="AS287" i="24"/>
  <c r="AQ233" i="24"/>
  <c r="AS233" i="24"/>
  <c r="AQ256" i="24"/>
  <c r="AS256" i="24"/>
  <c r="AQ236" i="24"/>
  <c r="AS236" i="24"/>
  <c r="AQ266" i="24"/>
  <c r="AS266" i="24"/>
  <c r="AQ313" i="24"/>
  <c r="AS313" i="24"/>
  <c r="AQ307" i="24"/>
  <c r="AS307" i="24"/>
  <c r="AQ250" i="24"/>
  <c r="AS250" i="24"/>
  <c r="AQ264" i="24"/>
  <c r="AS264" i="24"/>
  <c r="AQ224" i="24"/>
  <c r="AS224" i="24"/>
  <c r="AQ315" i="24"/>
  <c r="AS315" i="24"/>
  <c r="AQ63" i="24"/>
  <c r="AS63" i="24"/>
  <c r="AQ292" i="24"/>
  <c r="AS292" i="24"/>
  <c r="AQ158" i="24"/>
  <c r="AS158" i="24"/>
  <c r="AQ153" i="24"/>
  <c r="AS153" i="24"/>
  <c r="AQ129" i="24"/>
  <c r="AS129" i="24"/>
  <c r="AQ116" i="24"/>
  <c r="AS116" i="24"/>
  <c r="AQ177" i="24"/>
  <c r="AS177" i="24"/>
  <c r="AQ151" i="24"/>
  <c r="AS151" i="24"/>
  <c r="AQ180" i="24"/>
  <c r="AS180" i="24"/>
  <c r="AQ29" i="24"/>
  <c r="AS29" i="24"/>
  <c r="BT122" i="24" l="1"/>
  <c r="CD122" i="24"/>
  <c r="BH110" i="25"/>
  <c r="BG110" i="25"/>
  <c r="BT110" i="25"/>
  <c r="BF110" i="25"/>
  <c r="AX172" i="24"/>
  <c r="AX123" i="24"/>
  <c r="BT115" i="24"/>
  <c r="AX181" i="24"/>
  <c r="BT155" i="24"/>
  <c r="AX195" i="24"/>
  <c r="BT157" i="24"/>
  <c r="AX208" i="24"/>
  <c r="BV210" i="24"/>
  <c r="BV195" i="24"/>
  <c r="AX157" i="24"/>
  <c r="AX115" i="24"/>
  <c r="BV122" i="24"/>
  <c r="BT123" i="24"/>
  <c r="BH181" i="24"/>
  <c r="BT210" i="24"/>
  <c r="BH208" i="24"/>
  <c r="AQ136" i="24"/>
  <c r="BI136" i="24"/>
  <c r="BJ136" i="24"/>
  <c r="CD196" i="24"/>
  <c r="BJ196" i="24"/>
  <c r="BI196" i="24"/>
  <c r="BH196" i="24"/>
  <c r="BV196" i="24"/>
  <c r="BT196" i="24"/>
  <c r="AX196" i="24"/>
  <c r="CD204" i="24"/>
  <c r="BJ204" i="24"/>
  <c r="BI204" i="24"/>
  <c r="BH204" i="24"/>
  <c r="BT204" i="24"/>
  <c r="BV204" i="24"/>
  <c r="AX204" i="24"/>
  <c r="CD198" i="24"/>
  <c r="BI198" i="24"/>
  <c r="BJ198" i="24"/>
  <c r="BV198" i="24"/>
  <c r="BT198" i="24"/>
  <c r="BH198" i="24"/>
  <c r="AX198" i="24"/>
  <c r="CD170" i="24"/>
  <c r="BI170" i="24"/>
  <c r="BJ170" i="24"/>
  <c r="BV170" i="24"/>
  <c r="BT170" i="24"/>
  <c r="BH170" i="24"/>
  <c r="AX170" i="24"/>
  <c r="CD189" i="24"/>
  <c r="BI189" i="24"/>
  <c r="BJ189" i="24"/>
  <c r="AX189" i="24"/>
  <c r="BV189" i="24"/>
  <c r="BT189" i="24"/>
  <c r="BH189" i="24"/>
  <c r="CD132" i="24"/>
  <c r="BJ132" i="24"/>
  <c r="BI132" i="24"/>
  <c r="BT132" i="24"/>
  <c r="BV132" i="24"/>
  <c r="BH132" i="24"/>
  <c r="AX132" i="24"/>
  <c r="BT136" i="24"/>
  <c r="BH136" i="24"/>
  <c r="CD163" i="24"/>
  <c r="BJ163" i="24"/>
  <c r="BI163" i="24"/>
  <c r="BT163" i="24"/>
  <c r="BV163" i="24"/>
  <c r="AX163" i="24"/>
  <c r="BH163" i="24"/>
  <c r="CD131" i="24"/>
  <c r="BI131" i="24"/>
  <c r="BJ131" i="24"/>
  <c r="BT131" i="24"/>
  <c r="BV131" i="24"/>
  <c r="AX131" i="24"/>
  <c r="BH131" i="24"/>
  <c r="CD186" i="24"/>
  <c r="BI186" i="24"/>
  <c r="BJ186" i="24"/>
  <c r="BV186" i="24"/>
  <c r="BT186" i="24"/>
  <c r="BH186" i="24"/>
  <c r="AX186" i="24"/>
  <c r="CD112" i="24"/>
  <c r="BI112" i="24"/>
  <c r="BJ112" i="24"/>
  <c r="AQ184" i="24"/>
  <c r="BI184" i="24"/>
  <c r="BJ184" i="24"/>
  <c r="BV184" i="24"/>
  <c r="BT184" i="24"/>
  <c r="BH184" i="24"/>
  <c r="AX184" i="24"/>
  <c r="CD174" i="24"/>
  <c r="BI174" i="24"/>
  <c r="BJ174" i="24"/>
  <c r="BT174" i="24"/>
  <c r="AX174" i="24"/>
  <c r="BV174" i="24"/>
  <c r="BH174" i="24"/>
  <c r="CD156" i="24"/>
  <c r="BI156" i="24"/>
  <c r="BJ156" i="24"/>
  <c r="BT156" i="24"/>
  <c r="BV156" i="24"/>
  <c r="BH156" i="24"/>
  <c r="AX156" i="24"/>
  <c r="CD117" i="24"/>
  <c r="BI117" i="24"/>
  <c r="BJ117" i="24"/>
  <c r="AX117" i="24"/>
  <c r="BT117" i="24"/>
  <c r="BH117" i="24"/>
  <c r="BV117" i="24"/>
  <c r="CD176" i="24"/>
  <c r="BI176" i="24"/>
  <c r="BJ176" i="24"/>
  <c r="BH176" i="24"/>
  <c r="BT176" i="24"/>
  <c r="BV176" i="24"/>
  <c r="AX176" i="24"/>
  <c r="AQ114" i="24"/>
  <c r="BI114" i="24"/>
  <c r="BJ114" i="24"/>
  <c r="BV114" i="24"/>
  <c r="AX114" i="24"/>
  <c r="BH114" i="24"/>
  <c r="BT114" i="24"/>
  <c r="CD130" i="24"/>
  <c r="BI130" i="24"/>
  <c r="BJ130" i="24"/>
  <c r="AX130" i="24"/>
  <c r="BV130" i="24"/>
  <c r="BH130" i="24"/>
  <c r="BT130" i="24"/>
  <c r="AS167" i="24"/>
  <c r="AU167" i="24" s="1"/>
  <c r="BI167" i="24"/>
  <c r="BJ167" i="24"/>
  <c r="BV167" i="24"/>
  <c r="BH167" i="24"/>
  <c r="BT167" i="24"/>
  <c r="AX167" i="24"/>
  <c r="CD159" i="24"/>
  <c r="BJ159" i="24"/>
  <c r="BI159" i="24"/>
  <c r="BT159" i="24"/>
  <c r="BV159" i="24"/>
  <c r="BH159" i="24"/>
  <c r="AX159" i="24"/>
  <c r="BI146" i="24"/>
  <c r="BJ146" i="24"/>
  <c r="BV146" i="24"/>
  <c r="AX146" i="24"/>
  <c r="BH146" i="24"/>
  <c r="BT146" i="24"/>
  <c r="CD128" i="24"/>
  <c r="BI128" i="24"/>
  <c r="BJ128" i="24"/>
  <c r="BV128" i="24"/>
  <c r="BT128" i="24"/>
  <c r="BH128" i="24"/>
  <c r="AX128" i="24"/>
  <c r="CD152" i="24"/>
  <c r="BJ152" i="24"/>
  <c r="BI152" i="24"/>
  <c r="BV152" i="24"/>
  <c r="BH152" i="24"/>
  <c r="BT152" i="24"/>
  <c r="AX152" i="24"/>
  <c r="CD165" i="24"/>
  <c r="BJ165" i="24"/>
  <c r="BI165" i="24"/>
  <c r="BT165" i="24"/>
  <c r="AX165" i="24"/>
  <c r="BV165" i="24"/>
  <c r="BH165" i="24"/>
  <c r="BV136" i="24"/>
  <c r="AS165" i="24"/>
  <c r="AU165" i="24" s="1"/>
  <c r="BI110" i="24"/>
  <c r="BJ110" i="24"/>
  <c r="BT110" i="24"/>
  <c r="AX110" i="24"/>
  <c r="BV110" i="24"/>
  <c r="BH110" i="24"/>
  <c r="CD123" i="24"/>
  <c r="BI123" i="24"/>
  <c r="BJ123" i="24"/>
  <c r="CD194" i="24"/>
  <c r="BI194" i="24"/>
  <c r="BJ194" i="24"/>
  <c r="BT194" i="24"/>
  <c r="BV194" i="24"/>
  <c r="BH194" i="24"/>
  <c r="AX194" i="24"/>
  <c r="BI169" i="24"/>
  <c r="BJ169" i="24"/>
  <c r="CD207" i="24"/>
  <c r="BI207" i="24"/>
  <c r="BJ207" i="24"/>
  <c r="CD172" i="24"/>
  <c r="BJ172" i="24"/>
  <c r="BI172" i="24"/>
  <c r="CD192" i="24"/>
  <c r="BI192" i="24"/>
  <c r="BJ192" i="24"/>
  <c r="BV192" i="24"/>
  <c r="AX192" i="24"/>
  <c r="BH192" i="24"/>
  <c r="BT192" i="24"/>
  <c r="CD199" i="24"/>
  <c r="BI199" i="24"/>
  <c r="BJ199" i="24"/>
  <c r="BT199" i="24"/>
  <c r="BH199" i="24"/>
  <c r="BV199" i="24"/>
  <c r="AX199" i="24"/>
  <c r="CD157" i="24"/>
  <c r="BJ157" i="24"/>
  <c r="BI157" i="24"/>
  <c r="CD141" i="24"/>
  <c r="BI141" i="24"/>
  <c r="BJ141" i="24"/>
  <c r="AX141" i="24"/>
  <c r="BT141" i="24"/>
  <c r="BV141" i="24"/>
  <c r="BH141" i="24"/>
  <c r="CD188" i="24"/>
  <c r="BJ188" i="24"/>
  <c r="BI188" i="24"/>
  <c r="BH188" i="24"/>
  <c r="BT188" i="24"/>
  <c r="BV188" i="24"/>
  <c r="AX188" i="24"/>
  <c r="CD209" i="24"/>
  <c r="BI209" i="24"/>
  <c r="BJ209" i="24"/>
  <c r="BH209" i="24"/>
  <c r="BT209" i="24"/>
  <c r="BV209" i="24"/>
  <c r="AX209" i="24"/>
  <c r="AS133" i="24"/>
  <c r="AU133" i="24" s="1"/>
  <c r="BI133" i="24"/>
  <c r="BJ133" i="24"/>
  <c r="AX133" i="24"/>
  <c r="BT133" i="24"/>
  <c r="BH133" i="24"/>
  <c r="BV133" i="24"/>
  <c r="CD206" i="24"/>
  <c r="BI206" i="24"/>
  <c r="BJ206" i="24"/>
  <c r="BV206" i="24"/>
  <c r="BT206" i="24"/>
  <c r="AX206" i="24"/>
  <c r="BH206" i="24"/>
  <c r="AS166" i="24"/>
  <c r="AU166" i="24" s="1"/>
  <c r="BI166" i="24"/>
  <c r="BJ166" i="24"/>
  <c r="BT166" i="24"/>
  <c r="BH166" i="24"/>
  <c r="BV166" i="24"/>
  <c r="AX166" i="24"/>
  <c r="AQ191" i="24"/>
  <c r="BI191" i="24"/>
  <c r="BJ191" i="24"/>
  <c r="BT191" i="24"/>
  <c r="BV191" i="24"/>
  <c r="BH191" i="24"/>
  <c r="AX191" i="24"/>
  <c r="AX207" i="24"/>
  <c r="BV112" i="24"/>
  <c r="BH112" i="24"/>
  <c r="BV172" i="24"/>
  <c r="BH169" i="24"/>
  <c r="BT169" i="24"/>
  <c r="CD134" i="24"/>
  <c r="BJ134" i="24"/>
  <c r="BI134" i="24"/>
  <c r="BT134" i="24"/>
  <c r="BH134" i="24"/>
  <c r="AX134" i="24"/>
  <c r="BV134" i="24"/>
  <c r="AQ161" i="24"/>
  <c r="BJ161" i="24"/>
  <c r="BI161" i="24"/>
  <c r="AX161" i="24"/>
  <c r="BT161" i="24"/>
  <c r="BH161" i="24"/>
  <c r="BV161" i="24"/>
  <c r="BI168" i="24"/>
  <c r="BJ168" i="24"/>
  <c r="BH168" i="24"/>
  <c r="BT168" i="24"/>
  <c r="BV168" i="24"/>
  <c r="AX168" i="24"/>
  <c r="CD147" i="24"/>
  <c r="BJ147" i="24"/>
  <c r="BI147" i="24"/>
  <c r="BT147" i="24"/>
  <c r="BV147" i="24"/>
  <c r="AX147" i="24"/>
  <c r="BH147" i="24"/>
  <c r="CD182" i="24"/>
  <c r="BI182" i="24"/>
  <c r="BJ182" i="24"/>
  <c r="BT182" i="24"/>
  <c r="BV182" i="24"/>
  <c r="AX182" i="24"/>
  <c r="BH182" i="24"/>
  <c r="BJ155" i="24"/>
  <c r="BI155" i="24"/>
  <c r="CD149" i="24"/>
  <c r="BJ149" i="24"/>
  <c r="BI149" i="24"/>
  <c r="BT149" i="24"/>
  <c r="AX149" i="24"/>
  <c r="BV149" i="24"/>
  <c r="BH149" i="24"/>
  <c r="AS115" i="24"/>
  <c r="AU115" i="24" s="1"/>
  <c r="BI115" i="24"/>
  <c r="BJ115" i="24"/>
  <c r="CD210" i="24"/>
  <c r="BI210" i="24"/>
  <c r="BJ210" i="24"/>
  <c r="BI203" i="24"/>
  <c r="BJ203" i="24"/>
  <c r="BV203" i="24"/>
  <c r="BH203" i="24"/>
  <c r="BT203" i="24"/>
  <c r="AX203" i="24"/>
  <c r="CD205" i="24"/>
  <c r="BI205" i="24"/>
  <c r="BJ205" i="24"/>
  <c r="AX205" i="24"/>
  <c r="BT205" i="24"/>
  <c r="BV205" i="24"/>
  <c r="BH205" i="24"/>
  <c r="BI181" i="24"/>
  <c r="BJ181" i="24"/>
  <c r="AQ208" i="24"/>
  <c r="BI208" i="24"/>
  <c r="BJ208" i="24"/>
  <c r="CD119" i="24"/>
  <c r="BI119" i="24"/>
  <c r="BJ119" i="24"/>
  <c r="BT119" i="24"/>
  <c r="AX119" i="24"/>
  <c r="BV119" i="24"/>
  <c r="BH119" i="24"/>
  <c r="AQ162" i="24"/>
  <c r="BI162" i="24"/>
  <c r="BJ162" i="24"/>
  <c r="BV162" i="24"/>
  <c r="BH162" i="24"/>
  <c r="AX162" i="24"/>
  <c r="BT162" i="24"/>
  <c r="CD195" i="24"/>
  <c r="BI195" i="24"/>
  <c r="BJ195" i="24"/>
  <c r="CD150" i="24"/>
  <c r="BI150" i="24"/>
  <c r="BJ150" i="24"/>
  <c r="BT150" i="24"/>
  <c r="BH150" i="24"/>
  <c r="BV150" i="24"/>
  <c r="AX150" i="24"/>
  <c r="AS122" i="24"/>
  <c r="AW122" i="24" s="1"/>
  <c r="BI122" i="24"/>
  <c r="BJ122" i="24"/>
  <c r="CD193" i="24"/>
  <c r="BI193" i="24"/>
  <c r="BJ193" i="24"/>
  <c r="AX193" i="24"/>
  <c r="BV193" i="24"/>
  <c r="BH193" i="24"/>
  <c r="BT193" i="24"/>
  <c r="BH207" i="24"/>
  <c r="BT207" i="24"/>
  <c r="BH210" i="24"/>
  <c r="AX155" i="24"/>
  <c r="BV155" i="24"/>
  <c r="AX112" i="24"/>
  <c r="BT112" i="24"/>
  <c r="BT195" i="24"/>
  <c r="BH157" i="24"/>
  <c r="BH115" i="24"/>
  <c r="BT172" i="24"/>
  <c r="AX122" i="24"/>
  <c r="BH122" i="24"/>
  <c r="BH123" i="24"/>
  <c r="BT208" i="24"/>
  <c r="BV181" i="24"/>
  <c r="BV169" i="24"/>
  <c r="AX136" i="24"/>
  <c r="AQ152" i="24"/>
  <c r="BV55" i="24"/>
  <c r="AV7" i="24"/>
  <c r="AX50" i="24"/>
  <c r="BV50" i="24"/>
  <c r="AX87" i="24"/>
  <c r="BV87" i="24"/>
  <c r="AV48" i="24"/>
  <c r="AV81" i="24"/>
  <c r="BV81" i="24"/>
  <c r="BH70" i="24"/>
  <c r="BV70" i="24"/>
  <c r="AS152" i="24"/>
  <c r="AW152" i="24" s="1"/>
  <c r="AV20" i="24"/>
  <c r="AX91" i="24"/>
  <c r="BV91" i="24"/>
  <c r="BH27" i="24"/>
  <c r="BV27" i="24"/>
  <c r="AX105" i="24"/>
  <c r="BV105" i="24"/>
  <c r="BT101" i="24"/>
  <c r="BV101" i="24"/>
  <c r="AV38" i="24"/>
  <c r="AV62" i="24"/>
  <c r="AV39" i="24"/>
  <c r="AV77" i="24"/>
  <c r="AV76" i="24"/>
  <c r="BV97" i="24"/>
  <c r="BV43" i="24"/>
  <c r="BV64" i="24"/>
  <c r="BV33" i="24"/>
  <c r="AX86" i="24"/>
  <c r="BV86" i="24"/>
  <c r="BT14" i="24"/>
  <c r="BV14" i="24"/>
  <c r="AV57" i="24"/>
  <c r="AV90" i="24"/>
  <c r="AV44" i="24"/>
  <c r="AV84" i="24"/>
  <c r="AV93" i="24"/>
  <c r="AT103" i="24"/>
  <c r="BA103" i="24" s="1"/>
  <c r="BV34" i="24"/>
  <c r="AV22" i="24"/>
  <c r="BV22" i="24"/>
  <c r="AX69" i="24"/>
  <c r="BV69" i="24"/>
  <c r="AX23" i="24"/>
  <c r="BV23" i="24"/>
  <c r="AX95" i="24"/>
  <c r="BV95" i="24"/>
  <c r="AT52" i="24"/>
  <c r="BA52" i="24" s="1"/>
  <c r="AV45" i="24"/>
  <c r="AV80" i="24"/>
  <c r="AV71" i="24"/>
  <c r="BH10" i="24"/>
  <c r="BV10" i="24"/>
  <c r="AT66" i="24"/>
  <c r="BA66" i="24" s="1"/>
  <c r="AT67" i="24"/>
  <c r="BA67" i="24" s="1"/>
  <c r="AX25" i="24"/>
  <c r="BV25" i="24"/>
  <c r="AV98" i="24"/>
  <c r="AV75" i="24"/>
  <c r="AX78" i="24"/>
  <c r="BV78" i="24"/>
  <c r="BV35" i="24"/>
  <c r="BV41" i="24"/>
  <c r="BV65" i="24"/>
  <c r="AU58" i="25"/>
  <c r="BC58" i="25" s="1"/>
  <c r="BS58" i="25" s="1"/>
  <c r="AQ193" i="24"/>
  <c r="AS278" i="24"/>
  <c r="AW278" i="24" s="1"/>
  <c r="BH78" i="24"/>
  <c r="AQ278" i="24"/>
  <c r="AQ182" i="24"/>
  <c r="AV103" i="24"/>
  <c r="BI78" i="24"/>
  <c r="BT78" i="24"/>
  <c r="AS182" i="24"/>
  <c r="AU182" i="24" s="1"/>
  <c r="AS78" i="24"/>
  <c r="AW78" i="24" s="1"/>
  <c r="AY78" i="24" s="1"/>
  <c r="AS305" i="24"/>
  <c r="AU305" i="24" s="1"/>
  <c r="AQ70" i="24"/>
  <c r="BI70" i="24"/>
  <c r="BJ70" i="24"/>
  <c r="BT70" i="24"/>
  <c r="AX70" i="24"/>
  <c r="AS70" i="24"/>
  <c r="AW70" i="24" s="1"/>
  <c r="AY70" i="24" s="1"/>
  <c r="AS193" i="24"/>
  <c r="AU193" i="24" s="1"/>
  <c r="AQ78" i="24"/>
  <c r="BJ78" i="24"/>
  <c r="AQ237" i="24"/>
  <c r="AS203" i="24"/>
  <c r="AU203" i="24" s="1"/>
  <c r="CD203" i="24"/>
  <c r="AQ155" i="24"/>
  <c r="CD155" i="24"/>
  <c r="BH51" i="24"/>
  <c r="CD51" i="24"/>
  <c r="AQ128" i="24"/>
  <c r="AX73" i="24"/>
  <c r="CD73" i="24"/>
  <c r="AQ168" i="24"/>
  <c r="CD168" i="24"/>
  <c r="AQ146" i="24"/>
  <c r="CD146" i="24"/>
  <c r="AS260" i="24"/>
  <c r="AU260" i="24" s="1"/>
  <c r="CD260" i="24"/>
  <c r="AS289" i="24"/>
  <c r="AU289" i="24" s="1"/>
  <c r="CD289" i="24"/>
  <c r="AX60" i="24"/>
  <c r="CD60" i="24"/>
  <c r="AS238" i="24"/>
  <c r="AU238" i="24" s="1"/>
  <c r="AS128" i="24"/>
  <c r="AW128" i="24" s="1"/>
  <c r="AS132" i="24"/>
  <c r="AW132" i="24" s="1"/>
  <c r="AQ132" i="24"/>
  <c r="AS191" i="24"/>
  <c r="AU191" i="24" s="1"/>
  <c r="BT25" i="24"/>
  <c r="AT75" i="24"/>
  <c r="BA75" i="24" s="1"/>
  <c r="AQ25" i="24"/>
  <c r="AS73" i="24"/>
  <c r="AU73" i="24" s="1"/>
  <c r="BB73" i="24" s="1"/>
  <c r="AQ265" i="24"/>
  <c r="AS311" i="24"/>
  <c r="AU311" i="24" s="1"/>
  <c r="AS217" i="24"/>
  <c r="AW217" i="24" s="1"/>
  <c r="AT76" i="24"/>
  <c r="BA76" i="24" s="1"/>
  <c r="AS255" i="24"/>
  <c r="AW255" i="24" s="1"/>
  <c r="AQ166" i="24"/>
  <c r="AQ262" i="24"/>
  <c r="BH55" i="24"/>
  <c r="AS159" i="24"/>
  <c r="AU159" i="24" s="1"/>
  <c r="BT73" i="24"/>
  <c r="AQ117" i="24"/>
  <c r="AS312" i="24"/>
  <c r="AU312" i="24" s="1"/>
  <c r="AS176" i="24"/>
  <c r="AU176" i="24" s="1"/>
  <c r="AS114" i="24"/>
  <c r="AU114" i="24" s="1"/>
  <c r="AS146" i="24"/>
  <c r="AW146" i="24" s="1"/>
  <c r="BJ55" i="24"/>
  <c r="AQ207" i="24"/>
  <c r="AQ133" i="24"/>
  <c r="AS189" i="24"/>
  <c r="AU189" i="24" s="1"/>
  <c r="AX81" i="24"/>
  <c r="AT81" i="24"/>
  <c r="BA81" i="24" s="1"/>
  <c r="AQ55" i="24"/>
  <c r="AQ291" i="24"/>
  <c r="AQ289" i="24"/>
  <c r="BI73" i="24"/>
  <c r="BJ25" i="24"/>
  <c r="AQ189" i="24"/>
  <c r="BH33" i="24"/>
  <c r="AQ255" i="24"/>
  <c r="BI33" i="24"/>
  <c r="AX55" i="24"/>
  <c r="AX22" i="24"/>
  <c r="AS33" i="24"/>
  <c r="AU33" i="24" s="1"/>
  <c r="BB33" i="24" s="1"/>
  <c r="AS291" i="24"/>
  <c r="AU291" i="24" s="1"/>
  <c r="BJ33" i="24"/>
  <c r="AS55" i="24"/>
  <c r="AW55" i="24" s="1"/>
  <c r="AY55" i="24" s="1"/>
  <c r="AQ33" i="24"/>
  <c r="BI55" i="24"/>
  <c r="BT33" i="24"/>
  <c r="AS181" i="24"/>
  <c r="AU181" i="24" s="1"/>
  <c r="CD181" i="24"/>
  <c r="AQ130" i="24"/>
  <c r="AQ122" i="24"/>
  <c r="AS295" i="24"/>
  <c r="AU295" i="24" s="1"/>
  <c r="AQ73" i="24"/>
  <c r="AS242" i="24"/>
  <c r="AU242" i="24" s="1"/>
  <c r="BH73" i="24"/>
  <c r="AQ306" i="24"/>
  <c r="CD306" i="24"/>
  <c r="AQ217" i="24"/>
  <c r="AQ167" i="24"/>
  <c r="AS147" i="24"/>
  <c r="AW147" i="24" s="1"/>
  <c r="BJ73" i="24"/>
  <c r="AV67" i="24"/>
  <c r="AT93" i="24"/>
  <c r="BA93" i="24" s="1"/>
  <c r="AQ147" i="24"/>
  <c r="AV66" i="24"/>
  <c r="AS168" i="24"/>
  <c r="AU168" i="24" s="1"/>
  <c r="AS170" i="24"/>
  <c r="AW170" i="24" s="1"/>
  <c r="AQ263" i="24"/>
  <c r="AQ269" i="24"/>
  <c r="AQ159" i="24"/>
  <c r="AQ176" i="24"/>
  <c r="AT98" i="24"/>
  <c r="BA98" i="24" s="1"/>
  <c r="BH25" i="24"/>
  <c r="AS25" i="24"/>
  <c r="AW25" i="24" s="1"/>
  <c r="AY25" i="24" s="1"/>
  <c r="AZ25" i="24" s="1"/>
  <c r="AQ170" i="24"/>
  <c r="AS130" i="24"/>
  <c r="AU130" i="24" s="1"/>
  <c r="BI25" i="24"/>
  <c r="AT84" i="24"/>
  <c r="BA84" i="24" s="1"/>
  <c r="AT90" i="24"/>
  <c r="BA90" i="24" s="1"/>
  <c r="AT44" i="24"/>
  <c r="BA44" i="24" s="1"/>
  <c r="AS265" i="24"/>
  <c r="AU265" i="24" s="1"/>
  <c r="AS226" i="24"/>
  <c r="AW226" i="24" s="1"/>
  <c r="AQ296" i="24"/>
  <c r="AQ231" i="24"/>
  <c r="AS188" i="24"/>
  <c r="AU188" i="24" s="1"/>
  <c r="AT38" i="24"/>
  <c r="BA38" i="24" s="1"/>
  <c r="AT39" i="24"/>
  <c r="BA39" i="24" s="1"/>
  <c r="AQ206" i="24"/>
  <c r="AQ181" i="24"/>
  <c r="AS206" i="24"/>
  <c r="AU206" i="24" s="1"/>
  <c r="AQ209" i="24"/>
  <c r="AT62" i="24"/>
  <c r="BA62" i="24" s="1"/>
  <c r="AT77" i="24"/>
  <c r="BA77" i="24" s="1"/>
  <c r="BJ23" i="24"/>
  <c r="AS150" i="24"/>
  <c r="AW150" i="24" s="1"/>
  <c r="AQ150" i="24"/>
  <c r="AS308" i="24"/>
  <c r="AW308" i="24" s="1"/>
  <c r="AQ10" i="24"/>
  <c r="AQ198" i="24"/>
  <c r="AS232" i="24"/>
  <c r="AU232" i="24" s="1"/>
  <c r="BJ10" i="24"/>
  <c r="AS204" i="24"/>
  <c r="AW204" i="24" s="1"/>
  <c r="AS198" i="24"/>
  <c r="AW198" i="24" s="1"/>
  <c r="AS156" i="24"/>
  <c r="AU156" i="24" s="1"/>
  <c r="AS117" i="24"/>
  <c r="AW117" i="24" s="1"/>
  <c r="AS225" i="24"/>
  <c r="AU225" i="24" s="1"/>
  <c r="AS195" i="24"/>
  <c r="AU195" i="24" s="1"/>
  <c r="AS284" i="24"/>
  <c r="AU284" i="24" s="1"/>
  <c r="AS162" i="24"/>
  <c r="AW162" i="24" s="1"/>
  <c r="AQ186" i="24"/>
  <c r="AQ156" i="24"/>
  <c r="AQ195" i="24"/>
  <c r="AQ196" i="24"/>
  <c r="AQ204" i="24"/>
  <c r="AS174" i="24"/>
  <c r="AW174" i="24" s="1"/>
  <c r="AS306" i="24"/>
  <c r="AU306" i="24" s="1"/>
  <c r="AT48" i="24"/>
  <c r="BA48" i="24" s="1"/>
  <c r="AQ169" i="24"/>
  <c r="CD169" i="24"/>
  <c r="AT71" i="24"/>
  <c r="BA71" i="24" s="1"/>
  <c r="AS10" i="24"/>
  <c r="AW10" i="24" s="1"/>
  <c r="AY10" i="24" s="1"/>
  <c r="AQ97" i="24"/>
  <c r="BI10" i="24"/>
  <c r="BH23" i="24"/>
  <c r="AQ188" i="24"/>
  <c r="BT10" i="24"/>
  <c r="AX10" i="24"/>
  <c r="AQ141" i="24"/>
  <c r="AQ192" i="24"/>
  <c r="AS209" i="24"/>
  <c r="AU209" i="24" s="1"/>
  <c r="AU40" i="24"/>
  <c r="BB40" i="24" s="1"/>
  <c r="AT80" i="24"/>
  <c r="BA80" i="24" s="1"/>
  <c r="AK71" i="24"/>
  <c r="AQ205" i="24"/>
  <c r="AQ149" i="24"/>
  <c r="AQ210" i="24"/>
  <c r="BJ51" i="24"/>
  <c r="AQ174" i="24"/>
  <c r="AV52" i="24"/>
  <c r="AQ101" i="24"/>
  <c r="AS119" i="24"/>
  <c r="AU119" i="24" s="1"/>
  <c r="AT57" i="24"/>
  <c r="BA57" i="24" s="1"/>
  <c r="AQ112" i="24"/>
  <c r="AQ172" i="24"/>
  <c r="AQ95" i="24"/>
  <c r="AQ199" i="24"/>
  <c r="AQ105" i="24"/>
  <c r="AT45" i="24"/>
  <c r="BA45" i="24" s="1"/>
  <c r="BJ95" i="24"/>
  <c r="BT51" i="24"/>
  <c r="AQ51" i="24"/>
  <c r="BI14" i="24"/>
  <c r="AS184" i="24"/>
  <c r="AW184" i="24" s="1"/>
  <c r="AQ203" i="24"/>
  <c r="AS136" i="24"/>
  <c r="AU136" i="24" s="1"/>
  <c r="AS51" i="24"/>
  <c r="AU51" i="24" s="1"/>
  <c r="BB51" i="24" s="1"/>
  <c r="BI51" i="24"/>
  <c r="AS205" i="24"/>
  <c r="AW205" i="24" s="1"/>
  <c r="AQ119" i="24"/>
  <c r="BJ50" i="24"/>
  <c r="AS208" i="24"/>
  <c r="AU208" i="24" s="1"/>
  <c r="AX51" i="24"/>
  <c r="BT95" i="24"/>
  <c r="BH95" i="24"/>
  <c r="AS112" i="24"/>
  <c r="AU112" i="24" s="1"/>
  <c r="AS141" i="24"/>
  <c r="AU141" i="24" s="1"/>
  <c r="AS95" i="24"/>
  <c r="AW95" i="24" s="1"/>
  <c r="AY95" i="24" s="1"/>
  <c r="BI95" i="24"/>
  <c r="BI60" i="24"/>
  <c r="BH60" i="24"/>
  <c r="AS60" i="24"/>
  <c r="AW60" i="24" s="1"/>
  <c r="AY60" i="24" s="1"/>
  <c r="AQ60" i="24"/>
  <c r="AQ23" i="24"/>
  <c r="AS196" i="24"/>
  <c r="AW196" i="24" s="1"/>
  <c r="BT60" i="24"/>
  <c r="AS23" i="24"/>
  <c r="AU23" i="24" s="1"/>
  <c r="BB23" i="24" s="1"/>
  <c r="BJ60" i="24"/>
  <c r="BI23" i="24"/>
  <c r="BT23" i="24"/>
  <c r="BH101" i="24"/>
  <c r="AX101" i="24"/>
  <c r="BJ101" i="24"/>
  <c r="AS157" i="24"/>
  <c r="AW157" i="24" s="1"/>
  <c r="AS101" i="24"/>
  <c r="AW101" i="24" s="1"/>
  <c r="AY101" i="24" s="1"/>
  <c r="AQ157" i="24"/>
  <c r="AS131" i="24"/>
  <c r="AW131" i="24" s="1"/>
  <c r="BI101" i="24"/>
  <c r="AS186" i="24"/>
  <c r="AW186" i="24" s="1"/>
  <c r="AS199" i="24"/>
  <c r="AU199" i="24" s="1"/>
  <c r="AS192" i="24"/>
  <c r="AU192" i="24" s="1"/>
  <c r="BT105" i="24"/>
  <c r="AS110" i="24"/>
  <c r="AU110" i="24" s="1"/>
  <c r="CD110" i="24"/>
  <c r="AS105" i="24"/>
  <c r="AW105" i="24" s="1"/>
  <c r="AY105" i="24" s="1"/>
  <c r="BJ27" i="24"/>
  <c r="AX41" i="24"/>
  <c r="AS163" i="24"/>
  <c r="AW163" i="24" s="1"/>
  <c r="AS41" i="24"/>
  <c r="AW41" i="24" s="1"/>
  <c r="AY41" i="24" s="1"/>
  <c r="AX97" i="24"/>
  <c r="BI97" i="24"/>
  <c r="AW104" i="24"/>
  <c r="AY104" i="24" s="1"/>
  <c r="AZ104" i="24" s="1"/>
  <c r="AQ163" i="24"/>
  <c r="AS123" i="24"/>
  <c r="AU123" i="24" s="1"/>
  <c r="BI41" i="24"/>
  <c r="BJ105" i="24"/>
  <c r="BT97" i="24"/>
  <c r="AQ27" i="24"/>
  <c r="BJ41" i="24"/>
  <c r="BI105" i="24"/>
  <c r="BT41" i="24"/>
  <c r="BH105" i="24"/>
  <c r="BH97" i="24"/>
  <c r="AQ41" i="24"/>
  <c r="AS97" i="24"/>
  <c r="AU97" i="24" s="1"/>
  <c r="BB97" i="24" s="1"/>
  <c r="BJ97" i="24"/>
  <c r="AS149" i="24"/>
  <c r="AU149" i="24" s="1"/>
  <c r="AQ115" i="24"/>
  <c r="BJ87" i="24"/>
  <c r="AS210" i="24"/>
  <c r="AU210" i="24" s="1"/>
  <c r="BH14" i="24"/>
  <c r="AX14" i="24"/>
  <c r="BJ14" i="24"/>
  <c r="BT87" i="24"/>
  <c r="BH50" i="24"/>
  <c r="AQ50" i="24"/>
  <c r="AS161" i="24"/>
  <c r="AU161" i="24" s="1"/>
  <c r="AS14" i="24"/>
  <c r="AW14" i="24" s="1"/>
  <c r="AY14" i="24" s="1"/>
  <c r="AQ87" i="24"/>
  <c r="AQ14" i="24"/>
  <c r="AS172" i="24"/>
  <c r="AU172" i="24" s="1"/>
  <c r="AS155" i="24"/>
  <c r="AU155" i="24" s="1"/>
  <c r="AQ131" i="24"/>
  <c r="BH86" i="24"/>
  <c r="AK34" i="24"/>
  <c r="AQ65" i="24"/>
  <c r="BT65" i="24"/>
  <c r="AS207" i="24"/>
  <c r="AW207" i="24" s="1"/>
  <c r="BI64" i="24"/>
  <c r="BJ65" i="24"/>
  <c r="BH65" i="24"/>
  <c r="AQ86" i="24"/>
  <c r="AS64" i="24"/>
  <c r="AU64" i="24" s="1"/>
  <c r="BB64" i="24" s="1"/>
  <c r="BJ86" i="24"/>
  <c r="AK65" i="24"/>
  <c r="AS134" i="24"/>
  <c r="AU134" i="24" s="1"/>
  <c r="AS43" i="24"/>
  <c r="AU43" i="24" s="1"/>
  <c r="BB43" i="24" s="1"/>
  <c r="BI27" i="24"/>
  <c r="AS194" i="24"/>
  <c r="AU194" i="24" s="1"/>
  <c r="BT43" i="24"/>
  <c r="AX27" i="24"/>
  <c r="AN88" i="24"/>
  <c r="AS27" i="24"/>
  <c r="AU27" i="24" s="1"/>
  <c r="BB27" i="24" s="1"/>
  <c r="AS91" i="24"/>
  <c r="AW91" i="24" s="1"/>
  <c r="AY91" i="24" s="1"/>
  <c r="AS169" i="24"/>
  <c r="AU169" i="24" s="1"/>
  <c r="BI43" i="24"/>
  <c r="BI91" i="24"/>
  <c r="BH91" i="24"/>
  <c r="BT27" i="24"/>
  <c r="AS50" i="24"/>
  <c r="AW50" i="24" s="1"/>
  <c r="AY50" i="24" s="1"/>
  <c r="AZ50" i="24" s="1"/>
  <c r="AS86" i="24"/>
  <c r="AU86" i="24" s="1"/>
  <c r="BB86" i="24" s="1"/>
  <c r="AQ64" i="24"/>
  <c r="BI87" i="24"/>
  <c r="BI86" i="24"/>
  <c r="AS65" i="24"/>
  <c r="AU65" i="24" s="1"/>
  <c r="BB65" i="24" s="1"/>
  <c r="BH87" i="24"/>
  <c r="BT86" i="24"/>
  <c r="AX65" i="24"/>
  <c r="AX64" i="24"/>
  <c r="AN71" i="24"/>
  <c r="BJ71" i="24" s="1"/>
  <c r="AS87" i="24"/>
  <c r="AW87" i="24" s="1"/>
  <c r="AY87" i="24" s="1"/>
  <c r="BJ64" i="24"/>
  <c r="BI50" i="24"/>
  <c r="BT64" i="24"/>
  <c r="BT50" i="24"/>
  <c r="AQ91" i="24"/>
  <c r="AQ134" i="24"/>
  <c r="AQ123" i="24"/>
  <c r="BJ91" i="24"/>
  <c r="BT91" i="24"/>
  <c r="AQ194" i="24"/>
  <c r="AN13" i="24"/>
  <c r="AS81" i="24"/>
  <c r="AS22" i="24"/>
  <c r="BJ69" i="24"/>
  <c r="AT20" i="24"/>
  <c r="BA20" i="24" s="1"/>
  <c r="AN49" i="24"/>
  <c r="BV49" i="24" s="1"/>
  <c r="AR110" i="25"/>
  <c r="AT110" i="25" s="1"/>
  <c r="AY110" i="25" s="1"/>
  <c r="CD110" i="25"/>
  <c r="AQ81" i="24"/>
  <c r="BJ43" i="24"/>
  <c r="AS69" i="24"/>
  <c r="AW69" i="24" s="1"/>
  <c r="AY69" i="24" s="1"/>
  <c r="BH22" i="24"/>
  <c r="BH43" i="24"/>
  <c r="AT7" i="24"/>
  <c r="BA7" i="24" s="1"/>
  <c r="AN15" i="24"/>
  <c r="AQ43" i="24"/>
  <c r="BI13" i="24"/>
  <c r="BI22" i="24"/>
  <c r="AS34" i="24"/>
  <c r="AW34" i="24" s="1"/>
  <c r="AY34" i="24" s="1"/>
  <c r="AZ34" i="24" s="1"/>
  <c r="AK81" i="24"/>
  <c r="BI81" i="24"/>
  <c r="AQ22" i="24"/>
  <c r="BI69" i="24"/>
  <c r="BT69" i="24"/>
  <c r="AT22" i="24"/>
  <c r="BA22" i="24" s="1"/>
  <c r="BJ81" i="24"/>
  <c r="BJ22" i="24"/>
  <c r="AQ69" i="24"/>
  <c r="BT22" i="24"/>
  <c r="BT81" i="24"/>
  <c r="BH69" i="24"/>
  <c r="BH81" i="24"/>
  <c r="AK22" i="24"/>
  <c r="AN48" i="24"/>
  <c r="BV48" i="24" s="1"/>
  <c r="AK48" i="24"/>
  <c r="AK102" i="24"/>
  <c r="AN102" i="24"/>
  <c r="AK93" i="24"/>
  <c r="AN93" i="24"/>
  <c r="CD93" i="24" s="1"/>
  <c r="AQ34" i="24"/>
  <c r="BI34" i="24"/>
  <c r="BJ34" i="24"/>
  <c r="BT34" i="24"/>
  <c r="BH34" i="24"/>
  <c r="AV12" i="24"/>
  <c r="AT12" i="24"/>
  <c r="BA12" i="24" s="1"/>
  <c r="BD5" i="24"/>
  <c r="BG5" i="24" s="1"/>
  <c r="BL5" i="24" s="1"/>
  <c r="BM5" i="24" s="1"/>
  <c r="AN8" i="24"/>
  <c r="BV8" i="24" s="1"/>
  <c r="AK8" i="24"/>
  <c r="AK94" i="24"/>
  <c r="AN94" i="24"/>
  <c r="CD94" i="24" s="1"/>
  <c r="AK37" i="24"/>
  <c r="AN37" i="24"/>
  <c r="BV37" i="24" s="1"/>
  <c r="AV94" i="24"/>
  <c r="AT94" i="24"/>
  <c r="BA94" i="24" s="1"/>
  <c r="AV9" i="24"/>
  <c r="AT9" i="24"/>
  <c r="BA9" i="24" s="1"/>
  <c r="BJ35" i="24"/>
  <c r="AK35" i="24"/>
  <c r="AK98" i="24"/>
  <c r="AN98" i="24"/>
  <c r="BV98" i="24" s="1"/>
  <c r="AK90" i="24"/>
  <c r="AN90" i="24"/>
  <c r="CD90" i="24" s="1"/>
  <c r="AK103" i="24"/>
  <c r="AN103" i="24"/>
  <c r="AQ103" i="24" s="1"/>
  <c r="AV24" i="24"/>
  <c r="AT24" i="24"/>
  <c r="BA24" i="24" s="1"/>
  <c r="AV16" i="24"/>
  <c r="AT16" i="24"/>
  <c r="BA16" i="24" s="1"/>
  <c r="AK52" i="24"/>
  <c r="AN52" i="24"/>
  <c r="BV52" i="24" s="1"/>
  <c r="AN84" i="24"/>
  <c r="AK84" i="24"/>
  <c r="AN61" i="24"/>
  <c r="AK61" i="24"/>
  <c r="AK99" i="24"/>
  <c r="AN99" i="24"/>
  <c r="AK39" i="24"/>
  <c r="AN39" i="24"/>
  <c r="BV39" i="24" s="1"/>
  <c r="AN11" i="24"/>
  <c r="BV11" i="24" s="1"/>
  <c r="AK11" i="24"/>
  <c r="AK77" i="24"/>
  <c r="AN77" i="24"/>
  <c r="CD77" i="24" s="1"/>
  <c r="AN58" i="24"/>
  <c r="AK58" i="24"/>
  <c r="AS35" i="24"/>
  <c r="AU35" i="24" s="1"/>
  <c r="BB35" i="24" s="1"/>
  <c r="BT35" i="24"/>
  <c r="AX35" i="24"/>
  <c r="AN44" i="24"/>
  <c r="BV44" i="24" s="1"/>
  <c r="AK44" i="24"/>
  <c r="AK66" i="24"/>
  <c r="AN66" i="24"/>
  <c r="BV66" i="24" s="1"/>
  <c r="AN26" i="24"/>
  <c r="BV26" i="24" s="1"/>
  <c r="AK26" i="24"/>
  <c r="AK20" i="24"/>
  <c r="AN20" i="24"/>
  <c r="AN80" i="24"/>
  <c r="BV80" i="24" s="1"/>
  <c r="AK80" i="24"/>
  <c r="AK17" i="24"/>
  <c r="AN17" i="24"/>
  <c r="BV17" i="24" s="1"/>
  <c r="AK24" i="24"/>
  <c r="AN24" i="24"/>
  <c r="BV24" i="24" s="1"/>
  <c r="AN47" i="24"/>
  <c r="AK47" i="24"/>
  <c r="AN67" i="24"/>
  <c r="CD67" i="24" s="1"/>
  <c r="AK67" i="24"/>
  <c r="AN57" i="24"/>
  <c r="BV57" i="24" s="1"/>
  <c r="AK57" i="24"/>
  <c r="AK62" i="24"/>
  <c r="AN62" i="24"/>
  <c r="BV62" i="24" s="1"/>
  <c r="AV30" i="24"/>
  <c r="AT30" i="24"/>
  <c r="BA30" i="24" s="1"/>
  <c r="AN9" i="24"/>
  <c r="BT9" i="24" s="1"/>
  <c r="AK9" i="24"/>
  <c r="AN75" i="24"/>
  <c r="BV75" i="24" s="1"/>
  <c r="AK75" i="24"/>
  <c r="AQ35" i="24"/>
  <c r="BI35" i="24"/>
  <c r="AN38" i="24"/>
  <c r="BV38" i="24" s="1"/>
  <c r="AK38" i="24"/>
  <c r="AV17" i="24"/>
  <c r="AT17" i="24"/>
  <c r="BA17" i="24" s="1"/>
  <c r="AK45" i="24"/>
  <c r="AN45" i="24"/>
  <c r="AV26" i="24"/>
  <c r="AT26" i="24"/>
  <c r="BA26" i="24" s="1"/>
  <c r="AK30" i="24"/>
  <c r="AN30" i="24"/>
  <c r="BV30" i="24" s="1"/>
  <c r="AK76" i="24"/>
  <c r="AN76" i="24"/>
  <c r="BV76" i="24" s="1"/>
  <c r="AN12" i="24"/>
  <c r="BV12" i="24" s="1"/>
  <c r="AK12" i="24"/>
  <c r="AN16" i="24"/>
  <c r="BV16" i="24" s="1"/>
  <c r="AK16" i="24"/>
  <c r="AK6" i="24"/>
  <c r="AN6" i="24"/>
  <c r="AN7" i="24"/>
  <c r="BV7" i="24" s="1"/>
  <c r="AK7" i="24"/>
  <c r="BE5" i="24"/>
  <c r="BS5" i="24" s="1"/>
  <c r="AQ110" i="24"/>
  <c r="AU185" i="24"/>
  <c r="AW185" i="24"/>
  <c r="AU201" i="24"/>
  <c r="AW201" i="24"/>
  <c r="AU151" i="24"/>
  <c r="AW151" i="24"/>
  <c r="AU129" i="24"/>
  <c r="AW129" i="24"/>
  <c r="AU158" i="24"/>
  <c r="AW158" i="24"/>
  <c r="AU315" i="24"/>
  <c r="AW315" i="24"/>
  <c r="AU307" i="24"/>
  <c r="AW307" i="24"/>
  <c r="AW233" i="24"/>
  <c r="AU233" i="24"/>
  <c r="AW227" i="24"/>
  <c r="AU227" i="24"/>
  <c r="AW241" i="24"/>
  <c r="AU241" i="24"/>
  <c r="AW239" i="24"/>
  <c r="AU239" i="24"/>
  <c r="AU281" i="24"/>
  <c r="AW281" i="24"/>
  <c r="AU124" i="24"/>
  <c r="AW124" i="24"/>
  <c r="AU113" i="24"/>
  <c r="AW113" i="24"/>
  <c r="AU118" i="24"/>
  <c r="AW118" i="24"/>
  <c r="AU285" i="24"/>
  <c r="AW285" i="24"/>
  <c r="AU286" i="24"/>
  <c r="AW286" i="24"/>
  <c r="AU125" i="24"/>
  <c r="AW125" i="24"/>
  <c r="AU261" i="24"/>
  <c r="AW261" i="24"/>
  <c r="AU300" i="24"/>
  <c r="AW300" i="24"/>
  <c r="AU216" i="24"/>
  <c r="AW216" i="24"/>
  <c r="AU274" i="24"/>
  <c r="AW274" i="24"/>
  <c r="AU259" i="24"/>
  <c r="AW259" i="24"/>
  <c r="AU294" i="24"/>
  <c r="AW294" i="24"/>
  <c r="AU299" i="24"/>
  <c r="AW299" i="24"/>
  <c r="AU173" i="24"/>
  <c r="AW173" i="24"/>
  <c r="AU221" i="24"/>
  <c r="AW221" i="24"/>
  <c r="AU271" i="24"/>
  <c r="AW271" i="24"/>
  <c r="AU280" i="24"/>
  <c r="AW280" i="24"/>
  <c r="AU137" i="24"/>
  <c r="AW137" i="24"/>
  <c r="AW247" i="24"/>
  <c r="AU247" i="24"/>
  <c r="AU288" i="24"/>
  <c r="AW288" i="24"/>
  <c r="AU262" i="24"/>
  <c r="AW262" i="24"/>
  <c r="AU190" i="24"/>
  <c r="AW190" i="24"/>
  <c r="AU183" i="24"/>
  <c r="AW183" i="24"/>
  <c r="AU197" i="24"/>
  <c r="AW197" i="24"/>
  <c r="AU202" i="24"/>
  <c r="AW202" i="24"/>
  <c r="AU187" i="24"/>
  <c r="AW187" i="24"/>
  <c r="AU200" i="24"/>
  <c r="AW200" i="24"/>
  <c r="AU180" i="24"/>
  <c r="AW180" i="24"/>
  <c r="AU264" i="24"/>
  <c r="AW264" i="24"/>
  <c r="AU236" i="24"/>
  <c r="AW236" i="24"/>
  <c r="AU287" i="24"/>
  <c r="AW287" i="24"/>
  <c r="AU309" i="24"/>
  <c r="AW309" i="24"/>
  <c r="AU272" i="24"/>
  <c r="AW272" i="24"/>
  <c r="AU121" i="24"/>
  <c r="AW121" i="24"/>
  <c r="AU228" i="24"/>
  <c r="AW228" i="24"/>
  <c r="AU290" i="24"/>
  <c r="AW290" i="24"/>
  <c r="AU175" i="24"/>
  <c r="AW175" i="24"/>
  <c r="AU302" i="24"/>
  <c r="AW302" i="24"/>
  <c r="AU301" i="24"/>
  <c r="AW301" i="24"/>
  <c r="AU171" i="24"/>
  <c r="AW171" i="24"/>
  <c r="AU139" i="24"/>
  <c r="AW139" i="24"/>
  <c r="AU246" i="24"/>
  <c r="AW246" i="24"/>
  <c r="AU244" i="24"/>
  <c r="AW244" i="24"/>
  <c r="AU252" i="24"/>
  <c r="AW252" i="24"/>
  <c r="AU293" i="24"/>
  <c r="AW293" i="24"/>
  <c r="AU178" i="24"/>
  <c r="AW178" i="24"/>
  <c r="AU270" i="24"/>
  <c r="AW270" i="24"/>
  <c r="AU220" i="24"/>
  <c r="AW220" i="24"/>
  <c r="AU276" i="24"/>
  <c r="AW276" i="24"/>
  <c r="AU142" i="24"/>
  <c r="AW142" i="24"/>
  <c r="AU248" i="24"/>
  <c r="AW248" i="24"/>
  <c r="AU310" i="24"/>
  <c r="AW310" i="24"/>
  <c r="AU257" i="24"/>
  <c r="AW257" i="24"/>
  <c r="AW133" i="24"/>
  <c r="AU177" i="24"/>
  <c r="AW177" i="24"/>
  <c r="AU116" i="24"/>
  <c r="AW116" i="24"/>
  <c r="AU153" i="24"/>
  <c r="AW153" i="24"/>
  <c r="AU292" i="24"/>
  <c r="AW292" i="24"/>
  <c r="AU224" i="24"/>
  <c r="AW224" i="24"/>
  <c r="AU250" i="24"/>
  <c r="AW250" i="24"/>
  <c r="AU313" i="24"/>
  <c r="AW313" i="24"/>
  <c r="AU266" i="24"/>
  <c r="AW266" i="24"/>
  <c r="AU256" i="24"/>
  <c r="AW256" i="24"/>
  <c r="AW263" i="24"/>
  <c r="AU263" i="24"/>
  <c r="AU298" i="24"/>
  <c r="AW298" i="24"/>
  <c r="AU237" i="24"/>
  <c r="AW237" i="24"/>
  <c r="AU234" i="24"/>
  <c r="AW234" i="24"/>
  <c r="AU269" i="24"/>
  <c r="AW269" i="24"/>
  <c r="AU277" i="24"/>
  <c r="AW277" i="24"/>
  <c r="AU144" i="24"/>
  <c r="AW144" i="24"/>
  <c r="AU160" i="24"/>
  <c r="AW160" i="24"/>
  <c r="AU316" i="24"/>
  <c r="AW316" i="24"/>
  <c r="AU258" i="24"/>
  <c r="AW258" i="24"/>
  <c r="AU218" i="24"/>
  <c r="AW218" i="24"/>
  <c r="AU296" i="24"/>
  <c r="AW296" i="24"/>
  <c r="AW303" i="24"/>
  <c r="AU303" i="24"/>
  <c r="AW231" i="24"/>
  <c r="AU231" i="24"/>
  <c r="AU154" i="24"/>
  <c r="AW154" i="24"/>
  <c r="AU143" i="24"/>
  <c r="AW143" i="24"/>
  <c r="AU111" i="24"/>
  <c r="AW111" i="24"/>
  <c r="AU140" i="24"/>
  <c r="AW140" i="24"/>
  <c r="AW297" i="24"/>
  <c r="AU297" i="24"/>
  <c r="AU314" i="24"/>
  <c r="AW314" i="24"/>
  <c r="AU283" i="24"/>
  <c r="AW283" i="24"/>
  <c r="AU145" i="24"/>
  <c r="AW145" i="24"/>
  <c r="AU148" i="24"/>
  <c r="AW148" i="24"/>
  <c r="AU222" i="24"/>
  <c r="AW222" i="24"/>
  <c r="AU223" i="24"/>
  <c r="AW223" i="24"/>
  <c r="AU267" i="24"/>
  <c r="AW267" i="24"/>
  <c r="AW279" i="24"/>
  <c r="AU279" i="24"/>
  <c r="AU253" i="24"/>
  <c r="AW253" i="24"/>
  <c r="AU273" i="24"/>
  <c r="AW273" i="24"/>
  <c r="AU229" i="24"/>
  <c r="AW229" i="24"/>
  <c r="AU251" i="24"/>
  <c r="AW251" i="24"/>
  <c r="AU254" i="24"/>
  <c r="AW254" i="24"/>
  <c r="AU268" i="24"/>
  <c r="AW268" i="24"/>
  <c r="AU127" i="24"/>
  <c r="AW127" i="24"/>
  <c r="AU138" i="24"/>
  <c r="AW138" i="24"/>
  <c r="AU120" i="24"/>
  <c r="AW120" i="24"/>
  <c r="AU235" i="24"/>
  <c r="AW235" i="24"/>
  <c r="AU275" i="24"/>
  <c r="AW275" i="24"/>
  <c r="AU243" i="24"/>
  <c r="AW243" i="24"/>
  <c r="AU282" i="24"/>
  <c r="AW282" i="24"/>
  <c r="AU219" i="24"/>
  <c r="AW219" i="24"/>
  <c r="AU240" i="24"/>
  <c r="AW240" i="24"/>
  <c r="AU230" i="24"/>
  <c r="AW230" i="24"/>
  <c r="AU179" i="24"/>
  <c r="AW179" i="24"/>
  <c r="AW135" i="24"/>
  <c r="AU135" i="24"/>
  <c r="AU164" i="24"/>
  <c r="AW164" i="24"/>
  <c r="AU126" i="24"/>
  <c r="AW126" i="24"/>
  <c r="AU245" i="24"/>
  <c r="AW245" i="24"/>
  <c r="AU249" i="24"/>
  <c r="AW249" i="24"/>
  <c r="AU304" i="24"/>
  <c r="AW304" i="24"/>
  <c r="AP110" i="25"/>
  <c r="AT173" i="25"/>
  <c r="AY173" i="25" s="1"/>
  <c r="AU173" i="25"/>
  <c r="AT210" i="25"/>
  <c r="AY210" i="25" s="1"/>
  <c r="AU210" i="25"/>
  <c r="AT171" i="25"/>
  <c r="AY171" i="25" s="1"/>
  <c r="AU171" i="25"/>
  <c r="AT191" i="25"/>
  <c r="AY191" i="25" s="1"/>
  <c r="AU191" i="25"/>
  <c r="AT209" i="25"/>
  <c r="AY209" i="25" s="1"/>
  <c r="AU209" i="25"/>
  <c r="AT175" i="25"/>
  <c r="AY175" i="25" s="1"/>
  <c r="AU175" i="25"/>
  <c r="AU123" i="25"/>
  <c r="AT123" i="25"/>
  <c r="AY123" i="25" s="1"/>
  <c r="AU203" i="25"/>
  <c r="AT203" i="25"/>
  <c r="AY203" i="25" s="1"/>
  <c r="AU167" i="25"/>
  <c r="AT167" i="25"/>
  <c r="AY167" i="25" s="1"/>
  <c r="AT148" i="25"/>
  <c r="AY148" i="25" s="1"/>
  <c r="AU148" i="25"/>
  <c r="AT199" i="25"/>
  <c r="AY199" i="25" s="1"/>
  <c r="AU199" i="25"/>
  <c r="AT136" i="25"/>
  <c r="AY136" i="25" s="1"/>
  <c r="AU136" i="25"/>
  <c r="AT180" i="25"/>
  <c r="AY180" i="25" s="1"/>
  <c r="AU180" i="25"/>
  <c r="AT121" i="25"/>
  <c r="AY121" i="25" s="1"/>
  <c r="AU121" i="25"/>
  <c r="AT201" i="25"/>
  <c r="AY201" i="25" s="1"/>
  <c r="AU201" i="25"/>
  <c r="AU147" i="25"/>
  <c r="AT147" i="25"/>
  <c r="AY147" i="25" s="1"/>
  <c r="AT111" i="25"/>
  <c r="AY111" i="25" s="1"/>
  <c r="AU111" i="25"/>
  <c r="AT194" i="25"/>
  <c r="AY194" i="25" s="1"/>
  <c r="AU194" i="25"/>
  <c r="AT202" i="25"/>
  <c r="AY202" i="25" s="1"/>
  <c r="AU202" i="25"/>
  <c r="AT122" i="25"/>
  <c r="AY122" i="25" s="1"/>
  <c r="AU122" i="25"/>
  <c r="AT130" i="25"/>
  <c r="AY130" i="25" s="1"/>
  <c r="AU130" i="25"/>
  <c r="AT115" i="25"/>
  <c r="AY115" i="25" s="1"/>
  <c r="AU115" i="25"/>
  <c r="AT206" i="25"/>
  <c r="AY206" i="25" s="1"/>
  <c r="AU206" i="25"/>
  <c r="AT178" i="25"/>
  <c r="AY178" i="25" s="1"/>
  <c r="AU178" i="25"/>
  <c r="AT186" i="25"/>
  <c r="AY186" i="25" s="1"/>
  <c r="AU186" i="25"/>
  <c r="AT112" i="25"/>
  <c r="AY112" i="25" s="1"/>
  <c r="AU112" i="25"/>
  <c r="AT150" i="25"/>
  <c r="AY150" i="25" s="1"/>
  <c r="AU150" i="25"/>
  <c r="AT160" i="25"/>
  <c r="AY160" i="25" s="1"/>
  <c r="AU160" i="25"/>
  <c r="AT163" i="25"/>
  <c r="AY163" i="25" s="1"/>
  <c r="AU163" i="25"/>
  <c r="AT205" i="25"/>
  <c r="AY205" i="25" s="1"/>
  <c r="AU205" i="25"/>
  <c r="AT162" i="25"/>
  <c r="AY162" i="25" s="1"/>
  <c r="AU162" i="25"/>
  <c r="AT144" i="25"/>
  <c r="AY144" i="25" s="1"/>
  <c r="AU144" i="25"/>
  <c r="AT119" i="25"/>
  <c r="AY119" i="25" s="1"/>
  <c r="AU119" i="25"/>
  <c r="AT181" i="25"/>
  <c r="AY181" i="25" s="1"/>
  <c r="AU181" i="25"/>
  <c r="AT197" i="25"/>
  <c r="AY197" i="25" s="1"/>
  <c r="AU197" i="25"/>
  <c r="AU207" i="25"/>
  <c r="AT207" i="25"/>
  <c r="AY207" i="25" s="1"/>
  <c r="AT134" i="25"/>
  <c r="AY134" i="25" s="1"/>
  <c r="AU134" i="25"/>
  <c r="AT189" i="25"/>
  <c r="AY189" i="25" s="1"/>
  <c r="AU189" i="25"/>
  <c r="AT156" i="25"/>
  <c r="AY156" i="25" s="1"/>
  <c r="AU156" i="25"/>
  <c r="AT138" i="25"/>
  <c r="AY138" i="25" s="1"/>
  <c r="AU138" i="25"/>
  <c r="AT113" i="25"/>
  <c r="AY113" i="25" s="1"/>
  <c r="AU113" i="25"/>
  <c r="AT131" i="25"/>
  <c r="AY131" i="25" s="1"/>
  <c r="AU131" i="25"/>
  <c r="AT141" i="25"/>
  <c r="AY141" i="25" s="1"/>
  <c r="AU141" i="25"/>
  <c r="AT132" i="25"/>
  <c r="AY132" i="25" s="1"/>
  <c r="AU132" i="25"/>
  <c r="AU135" i="25"/>
  <c r="AT135" i="25"/>
  <c r="AY135" i="25" s="1"/>
  <c r="AT155" i="25"/>
  <c r="AY155" i="25" s="1"/>
  <c r="AU155" i="25"/>
  <c r="AT208" i="25"/>
  <c r="AY208" i="25" s="1"/>
  <c r="AU208" i="25"/>
  <c r="AT165" i="25"/>
  <c r="AY165" i="25" s="1"/>
  <c r="AU165" i="25"/>
  <c r="AT145" i="25"/>
  <c r="AY145" i="25" s="1"/>
  <c r="AU145" i="25"/>
  <c r="AT137" i="25"/>
  <c r="AY137" i="25" s="1"/>
  <c r="AU137" i="25"/>
  <c r="AT125" i="25"/>
  <c r="AY125" i="25" s="1"/>
  <c r="AU125" i="25"/>
  <c r="AT193" i="25"/>
  <c r="AY193" i="25" s="1"/>
  <c r="AU193" i="25"/>
  <c r="AU127" i="25"/>
  <c r="AT127" i="25"/>
  <c r="AY127" i="25" s="1"/>
  <c r="AT157" i="25"/>
  <c r="AY157" i="25" s="1"/>
  <c r="AU157" i="25"/>
  <c r="AT151" i="25"/>
  <c r="AY151" i="25" s="1"/>
  <c r="AU151" i="25"/>
  <c r="AT117" i="25"/>
  <c r="AY117" i="25" s="1"/>
  <c r="AU117" i="25"/>
  <c r="AT172" i="25"/>
  <c r="AY172" i="25" s="1"/>
  <c r="AU172" i="25"/>
  <c r="AT146" i="25"/>
  <c r="AY146" i="25" s="1"/>
  <c r="AU146" i="25"/>
  <c r="AT184" i="25"/>
  <c r="AY184" i="25" s="1"/>
  <c r="AU184" i="25"/>
  <c r="AT154" i="25"/>
  <c r="AY154" i="25" s="1"/>
  <c r="AU154" i="25"/>
  <c r="AT183" i="25"/>
  <c r="AY183" i="25" s="1"/>
  <c r="AU183" i="25"/>
  <c r="AT190" i="25"/>
  <c r="AY190" i="25" s="1"/>
  <c r="AU190" i="25"/>
  <c r="AT116" i="25"/>
  <c r="AY116" i="25" s="1"/>
  <c r="AU116" i="25"/>
  <c r="AT153" i="25"/>
  <c r="AY153" i="25" s="1"/>
  <c r="AU153" i="25"/>
  <c r="AT128" i="25"/>
  <c r="AY128" i="25" s="1"/>
  <c r="AU128" i="25"/>
  <c r="AT118" i="25"/>
  <c r="AY118" i="25" s="1"/>
  <c r="AU118" i="25"/>
  <c r="AT164" i="25"/>
  <c r="AY164" i="25" s="1"/>
  <c r="AU164" i="25"/>
  <c r="AT133" i="25"/>
  <c r="AY133" i="25" s="1"/>
  <c r="AU133" i="25"/>
  <c r="AT185" i="25"/>
  <c r="AY185" i="25" s="1"/>
  <c r="AU185" i="25"/>
  <c r="AT188" i="25"/>
  <c r="AY188" i="25" s="1"/>
  <c r="AU188" i="25"/>
  <c r="AT158" i="25"/>
  <c r="AY158" i="25" s="1"/>
  <c r="AU158" i="25"/>
  <c r="AT126" i="25"/>
  <c r="AY126" i="25" s="1"/>
  <c r="AU126" i="25"/>
  <c r="AT149" i="25"/>
  <c r="AY149" i="25" s="1"/>
  <c r="AU149" i="25"/>
  <c r="AT195" i="25"/>
  <c r="AY195" i="25" s="1"/>
  <c r="AU195" i="25"/>
  <c r="AT177" i="25"/>
  <c r="AY177" i="25" s="1"/>
  <c r="AU177" i="25"/>
  <c r="AT196" i="25"/>
  <c r="AY196" i="25" s="1"/>
  <c r="AU196" i="25"/>
  <c r="AT176" i="25"/>
  <c r="AY176" i="25" s="1"/>
  <c r="AU176" i="25"/>
  <c r="AT174" i="25"/>
  <c r="AY174" i="25" s="1"/>
  <c r="AU174" i="25"/>
  <c r="AT168" i="25"/>
  <c r="AY168" i="25" s="1"/>
  <c r="AU168" i="25"/>
  <c r="AT198" i="25"/>
  <c r="AY198" i="25" s="1"/>
  <c r="AU198" i="25"/>
  <c r="AU187" i="25"/>
  <c r="AT187" i="25"/>
  <c r="AY187" i="25" s="1"/>
  <c r="AT159" i="25"/>
  <c r="AY159" i="25" s="1"/>
  <c r="AU159" i="25"/>
  <c r="AT182" i="25"/>
  <c r="AY182" i="25" s="1"/>
  <c r="AU182" i="25"/>
  <c r="AT152" i="25"/>
  <c r="AY152" i="25" s="1"/>
  <c r="AU152" i="25"/>
  <c r="AT129" i="25"/>
  <c r="AY129" i="25" s="1"/>
  <c r="AU129" i="25"/>
  <c r="AT139" i="25"/>
  <c r="AY139" i="25" s="1"/>
  <c r="AU139" i="25"/>
  <c r="AT200" i="25"/>
  <c r="AY200" i="25" s="1"/>
  <c r="AU200" i="25"/>
  <c r="AT114" i="25"/>
  <c r="AY114" i="25" s="1"/>
  <c r="AU114" i="25"/>
  <c r="AT142" i="25"/>
  <c r="AY142" i="25" s="1"/>
  <c r="AU142" i="25"/>
  <c r="AU179" i="25"/>
  <c r="AT179" i="25"/>
  <c r="AY179" i="25" s="1"/>
  <c r="AT140" i="25"/>
  <c r="AY140" i="25" s="1"/>
  <c r="AU140" i="25"/>
  <c r="AT161" i="25"/>
  <c r="AY161" i="25" s="1"/>
  <c r="AU161" i="25"/>
  <c r="AT169" i="25"/>
  <c r="AY169" i="25" s="1"/>
  <c r="AU169" i="25"/>
  <c r="AT192" i="25"/>
  <c r="AY192" i="25" s="1"/>
  <c r="AU192" i="25"/>
  <c r="AT124" i="25"/>
  <c r="AY124" i="25" s="1"/>
  <c r="AU124" i="25"/>
  <c r="AT204" i="25"/>
  <c r="AY204" i="25" s="1"/>
  <c r="AU204" i="25"/>
  <c r="AU143" i="25"/>
  <c r="AT143" i="25"/>
  <c r="AY143" i="25" s="1"/>
  <c r="AT170" i="25"/>
  <c r="AY170" i="25" s="1"/>
  <c r="AU170" i="25"/>
  <c r="AT166" i="25"/>
  <c r="AY166" i="25" s="1"/>
  <c r="AU166" i="25"/>
  <c r="AT120" i="25"/>
  <c r="AY120" i="25" s="1"/>
  <c r="AU120" i="25"/>
  <c r="AT311" i="25"/>
  <c r="AU311" i="25"/>
  <c r="AT252" i="25"/>
  <c r="AU252" i="25"/>
  <c r="AT277" i="25"/>
  <c r="AU277" i="25"/>
  <c r="AT221" i="25"/>
  <c r="AU221" i="25"/>
  <c r="AT280" i="25"/>
  <c r="AU280" i="25"/>
  <c r="AT263" i="25"/>
  <c r="AU263" i="25"/>
  <c r="AU259" i="25"/>
  <c r="AT259" i="25"/>
  <c r="AT234" i="25"/>
  <c r="AU234" i="25"/>
  <c r="AT245" i="25"/>
  <c r="AU245" i="25"/>
  <c r="AT290" i="25"/>
  <c r="AU290" i="25"/>
  <c r="AT220" i="25"/>
  <c r="AU220" i="25"/>
  <c r="AT305" i="25"/>
  <c r="AU305" i="25"/>
  <c r="AT217" i="25"/>
  <c r="AU217" i="25"/>
  <c r="AT288" i="25"/>
  <c r="AU288" i="25"/>
  <c r="AT258" i="25"/>
  <c r="AU258" i="25"/>
  <c r="AT278" i="25"/>
  <c r="AU278" i="25"/>
  <c r="AU271" i="25"/>
  <c r="AT271" i="25"/>
  <c r="AT282" i="25"/>
  <c r="AU282" i="25"/>
  <c r="AU235" i="25"/>
  <c r="AT235" i="25"/>
  <c r="AT301" i="25"/>
  <c r="AU301" i="25"/>
  <c r="AT275" i="25"/>
  <c r="AU275" i="25"/>
  <c r="AU287" i="25"/>
  <c r="AT287" i="25"/>
  <c r="AT239" i="25"/>
  <c r="AU239" i="25"/>
  <c r="AT226" i="25"/>
  <c r="AU226" i="25"/>
  <c r="AT299" i="25"/>
  <c r="AU299" i="25"/>
  <c r="AT289" i="25"/>
  <c r="AU289" i="25"/>
  <c r="AT253" i="25"/>
  <c r="AU253" i="25"/>
  <c r="AT281" i="25"/>
  <c r="AU281" i="25"/>
  <c r="AT304" i="25"/>
  <c r="AU304" i="25"/>
  <c r="AT265" i="25"/>
  <c r="AU265" i="25"/>
  <c r="AT224" i="25"/>
  <c r="AU224" i="25"/>
  <c r="AT269" i="25"/>
  <c r="AU269" i="25"/>
  <c r="AT313" i="25"/>
  <c r="AU313" i="25"/>
  <c r="AT233" i="25"/>
  <c r="AU233" i="25"/>
  <c r="AT303" i="25"/>
  <c r="AU303" i="25"/>
  <c r="AU302" i="25"/>
  <c r="AT302" i="25"/>
  <c r="AT297" i="25"/>
  <c r="AU297" i="25"/>
  <c r="AT223" i="25"/>
  <c r="AU223" i="25"/>
  <c r="AT268" i="25"/>
  <c r="AU268" i="25"/>
  <c r="AT298" i="25"/>
  <c r="AU298" i="25"/>
  <c r="AT225" i="25"/>
  <c r="AU225" i="25"/>
  <c r="AT312" i="25"/>
  <c r="AU312" i="25"/>
  <c r="AT242" i="25"/>
  <c r="AU242" i="25"/>
  <c r="AT264" i="25"/>
  <c r="AU264" i="25"/>
  <c r="AT260" i="25"/>
  <c r="AU260" i="25"/>
  <c r="AT309" i="25"/>
  <c r="AU309" i="25"/>
  <c r="AT229" i="25"/>
  <c r="AU229" i="25"/>
  <c r="AT247" i="25"/>
  <c r="AU247" i="25"/>
  <c r="AT307" i="25"/>
  <c r="AU307" i="25"/>
  <c r="AT216" i="25"/>
  <c r="AU216" i="25"/>
  <c r="AT250" i="25"/>
  <c r="AU250" i="25"/>
  <c r="AT251" i="25"/>
  <c r="AU251" i="25"/>
  <c r="AT227" i="25"/>
  <c r="AU227" i="25"/>
  <c r="AT262" i="25"/>
  <c r="AU262" i="25"/>
  <c r="AU294" i="25"/>
  <c r="AT294" i="25"/>
  <c r="AT314" i="25"/>
  <c r="AU314" i="25"/>
  <c r="AU295" i="25"/>
  <c r="AT295" i="25"/>
  <c r="AT296" i="25"/>
  <c r="AU296" i="25"/>
  <c r="AT279" i="25"/>
  <c r="AU279" i="25"/>
  <c r="AT246" i="25"/>
  <c r="AU246" i="25"/>
  <c r="AT236" i="25"/>
  <c r="AU236" i="25"/>
  <c r="AT284" i="25"/>
  <c r="AU284" i="25"/>
  <c r="AU306" i="25"/>
  <c r="AT306" i="25"/>
  <c r="AT308" i="25"/>
  <c r="AU308" i="25"/>
  <c r="AT238" i="25"/>
  <c r="AU238" i="25"/>
  <c r="AT292" i="25"/>
  <c r="AU292" i="25"/>
  <c r="AT244" i="25"/>
  <c r="AU244" i="25"/>
  <c r="AT285" i="25"/>
  <c r="AU285" i="25"/>
  <c r="AT293" i="25"/>
  <c r="AU293" i="25"/>
  <c r="AT270" i="25"/>
  <c r="AU270" i="25"/>
  <c r="AT266" i="25"/>
  <c r="AU266" i="25"/>
  <c r="AT291" i="25"/>
  <c r="AU291" i="25"/>
  <c r="AT248" i="25"/>
  <c r="AU248" i="25"/>
  <c r="AT300" i="25"/>
  <c r="AU300" i="25"/>
  <c r="AT219" i="25"/>
  <c r="AU219" i="25"/>
  <c r="AT315" i="25"/>
  <c r="AU315" i="25"/>
  <c r="AT310" i="25"/>
  <c r="AU310" i="25"/>
  <c r="AT276" i="25"/>
  <c r="AU276" i="25"/>
  <c r="AT241" i="25"/>
  <c r="AU241" i="25"/>
  <c r="AT249" i="25"/>
  <c r="AU249" i="25"/>
  <c r="AT283" i="25"/>
  <c r="AU283" i="25"/>
  <c r="AT316" i="25"/>
  <c r="AU316" i="25"/>
  <c r="AU243" i="25"/>
  <c r="AT243" i="25"/>
  <c r="AT232" i="25"/>
  <c r="AU232" i="25"/>
  <c r="AT274" i="25"/>
  <c r="AU274" i="25"/>
  <c r="AT256" i="25"/>
  <c r="AU256" i="25"/>
  <c r="AT254" i="25"/>
  <c r="AU254" i="25"/>
  <c r="AT272" i="25"/>
  <c r="AU272" i="25"/>
  <c r="AT222" i="25"/>
  <c r="AU222" i="25"/>
  <c r="AT273" i="25"/>
  <c r="AU273" i="25"/>
  <c r="AT218" i="25"/>
  <c r="AU218" i="25"/>
  <c r="AT240" i="25"/>
  <c r="AU240" i="25"/>
  <c r="AT261" i="25"/>
  <c r="AU261" i="25"/>
  <c r="AT255" i="25"/>
  <c r="AU255" i="25"/>
  <c r="AT237" i="25"/>
  <c r="AU237" i="25"/>
  <c r="AT286" i="25"/>
  <c r="AU286" i="25"/>
  <c r="AT257" i="25"/>
  <c r="AU257" i="25"/>
  <c r="AT228" i="25"/>
  <c r="AU228" i="25"/>
  <c r="AU267" i="25"/>
  <c r="AT267" i="25"/>
  <c r="AT230" i="25"/>
  <c r="AU230" i="25"/>
  <c r="AT231" i="25"/>
  <c r="AU231" i="25"/>
  <c r="AX5" i="25"/>
  <c r="AR5" i="25"/>
  <c r="BH5" i="25"/>
  <c r="BT5" i="25"/>
  <c r="AP5" i="25"/>
  <c r="BF5" i="25"/>
  <c r="BG5" i="25"/>
  <c r="B108" i="2"/>
  <c r="B98" i="2"/>
  <c r="AU65" i="25"/>
  <c r="AU98" i="25"/>
  <c r="AU43" i="25"/>
  <c r="AU55" i="25"/>
  <c r="AU57" i="25"/>
  <c r="AU73" i="25"/>
  <c r="AU85" i="25"/>
  <c r="AU95" i="25"/>
  <c r="AU32" i="25"/>
  <c r="AU66" i="25"/>
  <c r="AU84" i="25"/>
  <c r="AU99" i="25"/>
  <c r="AU18" i="25"/>
  <c r="AU60" i="25"/>
  <c r="AU90" i="25"/>
  <c r="AU33" i="25"/>
  <c r="AT35" i="25"/>
  <c r="AY35" i="25" s="1"/>
  <c r="AU35" i="25"/>
  <c r="AT105" i="25"/>
  <c r="AU105" i="25"/>
  <c r="AT41" i="25"/>
  <c r="AY41" i="25" s="1"/>
  <c r="AU41" i="25"/>
  <c r="AT15" i="25"/>
  <c r="AY15" i="25" s="1"/>
  <c r="AU15" i="25"/>
  <c r="AU25" i="25"/>
  <c r="AT92" i="25"/>
  <c r="AY92" i="25" s="1"/>
  <c r="AU92" i="25"/>
  <c r="AT104" i="25"/>
  <c r="AY104" i="25" s="1"/>
  <c r="AU104" i="25"/>
  <c r="AT52" i="25"/>
  <c r="AY52" i="25" s="1"/>
  <c r="AU52" i="25"/>
  <c r="AT96" i="25"/>
  <c r="AY96" i="25" s="1"/>
  <c r="AU96" i="25"/>
  <c r="AT94" i="25"/>
  <c r="AY94" i="25" s="1"/>
  <c r="AU94" i="25"/>
  <c r="AT31" i="25"/>
  <c r="AY31" i="25" s="1"/>
  <c r="AU31" i="25"/>
  <c r="AT24" i="25"/>
  <c r="AY24" i="25" s="1"/>
  <c r="AU24" i="25"/>
  <c r="AT13" i="25"/>
  <c r="AY13" i="25" s="1"/>
  <c r="AU13" i="25"/>
  <c r="AT68" i="25"/>
  <c r="AY68" i="25" s="1"/>
  <c r="AU68" i="25"/>
  <c r="AT91" i="25"/>
  <c r="AY91" i="25" s="1"/>
  <c r="AU91" i="25"/>
  <c r="AT93" i="25"/>
  <c r="AY93" i="25" s="1"/>
  <c r="AU93" i="25"/>
  <c r="AT30" i="25"/>
  <c r="AY30" i="25" s="1"/>
  <c r="AU30" i="25"/>
  <c r="AU16" i="25"/>
  <c r="AT71" i="25"/>
  <c r="AY71" i="25" s="1"/>
  <c r="AU71" i="25"/>
  <c r="AT61" i="25"/>
  <c r="AY61" i="25" s="1"/>
  <c r="AU61" i="25"/>
  <c r="AT54" i="25"/>
  <c r="AY54" i="25" s="1"/>
  <c r="AU54" i="25"/>
  <c r="AU10" i="25"/>
  <c r="AU23" i="25"/>
  <c r="AT79" i="25"/>
  <c r="AY79" i="25" s="1"/>
  <c r="AU79" i="25"/>
  <c r="AT40" i="25"/>
  <c r="AY40" i="25" s="1"/>
  <c r="AU40" i="25"/>
  <c r="AT27" i="25"/>
  <c r="AY27" i="25" s="1"/>
  <c r="AU27" i="25"/>
  <c r="AU77" i="25"/>
  <c r="AT53" i="25"/>
  <c r="AY53" i="25" s="1"/>
  <c r="AU53" i="25"/>
  <c r="AT51" i="25"/>
  <c r="AY51" i="25" s="1"/>
  <c r="AU51" i="25"/>
  <c r="AT63" i="25"/>
  <c r="AY63" i="25" s="1"/>
  <c r="AU63" i="25"/>
  <c r="AT67" i="25"/>
  <c r="AY67" i="25" s="1"/>
  <c r="AU67" i="25"/>
  <c r="AT47" i="25"/>
  <c r="AY47" i="25" s="1"/>
  <c r="AU47" i="25"/>
  <c r="AT22" i="25"/>
  <c r="AY22" i="25" s="1"/>
  <c r="AU22" i="25"/>
  <c r="AT17" i="25"/>
  <c r="AY17" i="25" s="1"/>
  <c r="AU17" i="25"/>
  <c r="AT78" i="25"/>
  <c r="AY78" i="25" s="1"/>
  <c r="AU78" i="25"/>
  <c r="AT20" i="25"/>
  <c r="AY20" i="25" s="1"/>
  <c r="AU20" i="25"/>
  <c r="AT9" i="25"/>
  <c r="AY9" i="25" s="1"/>
  <c r="AU9" i="25"/>
  <c r="AU39" i="25"/>
  <c r="AT76" i="25"/>
  <c r="AY76" i="25" s="1"/>
  <c r="AU76" i="25"/>
  <c r="AT48" i="25"/>
  <c r="AY48" i="25" s="1"/>
  <c r="AU48" i="25"/>
  <c r="AT59" i="25"/>
  <c r="AY59" i="25" s="1"/>
  <c r="AU59" i="25"/>
  <c r="AU46" i="25"/>
  <c r="AU89" i="25"/>
  <c r="AU19" i="25"/>
  <c r="AT101" i="25"/>
  <c r="AY101" i="25" s="1"/>
  <c r="AU101" i="25"/>
  <c r="AU50" i="25"/>
  <c r="AT69" i="25"/>
  <c r="AY69" i="25" s="1"/>
  <c r="AU69" i="25"/>
  <c r="AT37" i="25"/>
  <c r="AY37" i="25" s="1"/>
  <c r="AU37" i="25"/>
  <c r="AT38" i="25"/>
  <c r="AY38" i="25" s="1"/>
  <c r="AU38" i="25"/>
  <c r="AT49" i="25"/>
  <c r="AY49" i="25" s="1"/>
  <c r="AU49" i="25"/>
  <c r="AT11" i="25"/>
  <c r="AY11" i="25" s="1"/>
  <c r="AU11" i="25"/>
  <c r="AT6" i="25"/>
  <c r="AY6" i="25" s="1"/>
  <c r="AU6" i="25"/>
  <c r="AT36" i="25"/>
  <c r="AY36" i="25" s="1"/>
  <c r="AU36" i="25"/>
  <c r="AU7" i="25"/>
  <c r="AT97" i="25"/>
  <c r="AY97" i="25" s="1"/>
  <c r="AU97" i="25"/>
  <c r="AT28" i="25"/>
  <c r="AY28" i="25" s="1"/>
  <c r="AU28" i="25"/>
  <c r="AT100" i="25"/>
  <c r="AY100" i="25" s="1"/>
  <c r="AU100" i="25"/>
  <c r="AT44" i="25"/>
  <c r="AY44" i="25" s="1"/>
  <c r="AU44" i="25"/>
  <c r="AT26" i="25"/>
  <c r="AY26" i="25" s="1"/>
  <c r="AU26" i="25"/>
  <c r="AT103" i="25"/>
  <c r="AY103" i="25" s="1"/>
  <c r="AU103" i="25"/>
  <c r="AT64" i="25"/>
  <c r="AY64" i="25" s="1"/>
  <c r="AU64" i="25"/>
  <c r="AT62" i="25"/>
  <c r="AY62" i="25" s="1"/>
  <c r="AU62" i="25"/>
  <c r="AT12" i="25"/>
  <c r="AY12" i="25" s="1"/>
  <c r="AU12" i="25"/>
  <c r="AU75" i="25"/>
  <c r="AT42" i="25"/>
  <c r="AY42" i="25" s="1"/>
  <c r="AU42" i="25"/>
  <c r="AT87" i="25"/>
  <c r="AY87" i="25" s="1"/>
  <c r="AU87" i="25"/>
  <c r="AU45" i="25"/>
  <c r="AU80" i="25"/>
  <c r="AT86" i="25"/>
  <c r="AY86" i="25" s="1"/>
  <c r="AU86" i="25"/>
  <c r="AT14" i="25"/>
  <c r="AY14" i="25" s="1"/>
  <c r="AU14" i="25"/>
  <c r="AT56" i="25"/>
  <c r="AY56" i="25" s="1"/>
  <c r="AU56" i="25"/>
  <c r="AT83" i="25"/>
  <c r="AY83" i="25" s="1"/>
  <c r="AU83" i="25"/>
  <c r="AT21" i="25"/>
  <c r="AY21" i="25" s="1"/>
  <c r="AU21" i="25"/>
  <c r="AU74" i="25"/>
  <c r="AT88" i="25"/>
  <c r="AY88" i="25" s="1"/>
  <c r="AU88" i="25"/>
  <c r="AT82" i="25"/>
  <c r="AY82" i="25" s="1"/>
  <c r="AU82" i="25"/>
  <c r="AT29" i="25"/>
  <c r="AY29" i="25" s="1"/>
  <c r="AU29" i="25"/>
  <c r="AU34" i="25"/>
  <c r="AT102" i="25"/>
  <c r="AY102" i="25" s="1"/>
  <c r="AU102" i="25"/>
  <c r="AT81" i="25"/>
  <c r="AY81" i="25" s="1"/>
  <c r="AU81" i="25"/>
  <c r="AT70" i="25"/>
  <c r="AY70" i="25" s="1"/>
  <c r="AU70" i="25"/>
  <c r="AU72" i="25"/>
  <c r="AT8" i="25"/>
  <c r="AY8" i="25" s="1"/>
  <c r="AU8" i="25"/>
  <c r="AW40" i="24"/>
  <c r="AY40" i="24" s="1"/>
  <c r="AZ40" i="24" s="1"/>
  <c r="AU32" i="24"/>
  <c r="BB32" i="24" s="1"/>
  <c r="AU53" i="24"/>
  <c r="BB53" i="24" s="1"/>
  <c r="BD53" i="24"/>
  <c r="BG53" i="24" s="1"/>
  <c r="BL53" i="24" s="1"/>
  <c r="BM53" i="24" s="1"/>
  <c r="BE53" i="24"/>
  <c r="BS53" i="24" s="1"/>
  <c r="BD32" i="24"/>
  <c r="BG32" i="24" s="1"/>
  <c r="BL32" i="24" s="1"/>
  <c r="BM32" i="24" s="1"/>
  <c r="BE32" i="24"/>
  <c r="BS32" i="24" s="1"/>
  <c r="AU18" i="24"/>
  <c r="BB18" i="24" s="1"/>
  <c r="AW18" i="24"/>
  <c r="AY18" i="24" s="1"/>
  <c r="AZ18" i="24" s="1"/>
  <c r="AW29" i="24"/>
  <c r="AY29" i="24" s="1"/>
  <c r="AZ29" i="24" s="1"/>
  <c r="AU29" i="24"/>
  <c r="BB29" i="24" s="1"/>
  <c r="AW82" i="24"/>
  <c r="AY82" i="24" s="1"/>
  <c r="AZ82" i="24" s="1"/>
  <c r="AU82" i="24"/>
  <c r="BB82" i="24" s="1"/>
  <c r="AW54" i="24"/>
  <c r="AY54" i="24" s="1"/>
  <c r="AZ54" i="24" s="1"/>
  <c r="AU54" i="24"/>
  <c r="BB54" i="24" s="1"/>
  <c r="AW19" i="24"/>
  <c r="AY19" i="24" s="1"/>
  <c r="AZ19" i="24" s="1"/>
  <c r="AU19" i="24"/>
  <c r="BB19" i="24" s="1"/>
  <c r="AW89" i="24"/>
  <c r="AY89" i="24" s="1"/>
  <c r="AZ89" i="24" s="1"/>
  <c r="AU89" i="24"/>
  <c r="BB89" i="24" s="1"/>
  <c r="AW59" i="24"/>
  <c r="AY59" i="24" s="1"/>
  <c r="AZ59" i="24" s="1"/>
  <c r="AU59" i="24"/>
  <c r="BB59" i="24" s="1"/>
  <c r="AW42" i="24"/>
  <c r="AY42" i="24" s="1"/>
  <c r="AZ42" i="24" s="1"/>
  <c r="AU42" i="24"/>
  <c r="BB42" i="24" s="1"/>
  <c r="AW36" i="24"/>
  <c r="AY36" i="24" s="1"/>
  <c r="AZ36" i="24" s="1"/>
  <c r="AU36" i="24"/>
  <c r="BB36" i="24" s="1"/>
  <c r="AW63" i="24"/>
  <c r="AY63" i="24" s="1"/>
  <c r="AZ63" i="24" s="1"/>
  <c r="AU63" i="24"/>
  <c r="BB63" i="24" s="1"/>
  <c r="AW56" i="24"/>
  <c r="AY56" i="24" s="1"/>
  <c r="AZ56" i="24" s="1"/>
  <c r="AU56" i="24"/>
  <c r="BB56" i="24" s="1"/>
  <c r="AW74" i="24"/>
  <c r="AY74" i="24" s="1"/>
  <c r="AZ74" i="24" s="1"/>
  <c r="AU74" i="24"/>
  <c r="BB74" i="24" s="1"/>
  <c r="AW72" i="24"/>
  <c r="AY72" i="24" s="1"/>
  <c r="AZ72" i="24" s="1"/>
  <c r="AU72" i="24"/>
  <c r="BB72" i="24" s="1"/>
  <c r="AW92" i="24"/>
  <c r="AY92" i="24" s="1"/>
  <c r="AZ92" i="24" s="1"/>
  <c r="AU92" i="24"/>
  <c r="BB92" i="24" s="1"/>
  <c r="AW79" i="24"/>
  <c r="AY79" i="24" s="1"/>
  <c r="AZ79" i="24" s="1"/>
  <c r="AU79" i="24"/>
  <c r="BB79" i="24" s="1"/>
  <c r="AW28" i="24"/>
  <c r="AY28" i="24" s="1"/>
  <c r="AZ28" i="24" s="1"/>
  <c r="AU28" i="24"/>
  <c r="BB28" i="24" s="1"/>
  <c r="AW96" i="24"/>
  <c r="AY96" i="24" s="1"/>
  <c r="AZ96" i="24" s="1"/>
  <c r="AU96" i="24"/>
  <c r="BB96" i="24" s="1"/>
  <c r="AW83" i="24"/>
  <c r="AY83" i="24" s="1"/>
  <c r="AZ83" i="24" s="1"/>
  <c r="AU83" i="24"/>
  <c r="BB83" i="24" s="1"/>
  <c r="AW68" i="24"/>
  <c r="AY68" i="24" s="1"/>
  <c r="AZ68" i="24" s="1"/>
  <c r="AU68" i="24"/>
  <c r="BB68" i="24" s="1"/>
  <c r="AW31" i="24"/>
  <c r="AY31" i="24" s="1"/>
  <c r="AZ31" i="24" s="1"/>
  <c r="AU31" i="24"/>
  <c r="BB31" i="24" s="1"/>
  <c r="AW46" i="24"/>
  <c r="AY46" i="24" s="1"/>
  <c r="AZ46" i="24" s="1"/>
  <c r="AU46" i="24"/>
  <c r="BB46" i="24" s="1"/>
  <c r="AW21" i="24"/>
  <c r="AY21" i="24" s="1"/>
  <c r="AZ21" i="24" s="1"/>
  <c r="AU21" i="24"/>
  <c r="BB21" i="24" s="1"/>
  <c r="AW85" i="24"/>
  <c r="AY85" i="24" s="1"/>
  <c r="AZ85" i="24" s="1"/>
  <c r="AU85" i="24"/>
  <c r="BB85" i="24" s="1"/>
  <c r="AW100" i="24"/>
  <c r="AY100" i="24" s="1"/>
  <c r="AZ100" i="24" s="1"/>
  <c r="AU100" i="24"/>
  <c r="BB100" i="24" s="1"/>
  <c r="BV106" i="19"/>
  <c r="CB106" i="19" s="1"/>
  <c r="BW106" i="19"/>
  <c r="CC106" i="19" s="1"/>
  <c r="BV61" i="24" l="1"/>
  <c r="CD61" i="24"/>
  <c r="BV84" i="24"/>
  <c r="CD84" i="24"/>
  <c r="BV45" i="24"/>
  <c r="CD45" i="24"/>
  <c r="BV47" i="24"/>
  <c r="CD47" i="24"/>
  <c r="BV20" i="24"/>
  <c r="CD20" i="24"/>
  <c r="AW166" i="24"/>
  <c r="AY166" i="24" s="1"/>
  <c r="AZ166" i="24" s="1"/>
  <c r="BA179" i="25"/>
  <c r="BB179" i="25"/>
  <c r="BR179" i="25" s="1"/>
  <c r="BC179" i="25"/>
  <c r="BS179" i="25" s="1"/>
  <c r="BA147" i="25"/>
  <c r="BC147" i="25"/>
  <c r="BS147" i="25" s="1"/>
  <c r="BB147" i="25"/>
  <c r="BR147" i="25" s="1"/>
  <c r="BC166" i="25"/>
  <c r="BS166" i="25" s="1"/>
  <c r="BB166" i="25"/>
  <c r="BR166" i="25" s="1"/>
  <c r="BA166" i="25"/>
  <c r="BB124" i="25"/>
  <c r="BR124" i="25" s="1"/>
  <c r="BA124" i="25"/>
  <c r="BC124" i="25"/>
  <c r="BS124" i="25" s="1"/>
  <c r="BB140" i="25"/>
  <c r="BR140" i="25" s="1"/>
  <c r="BC140" i="25"/>
  <c r="BS140" i="25" s="1"/>
  <c r="BA140" i="25"/>
  <c r="BA200" i="25"/>
  <c r="BC200" i="25"/>
  <c r="BS200" i="25" s="1"/>
  <c r="BB200" i="25"/>
  <c r="BR200" i="25" s="1"/>
  <c r="BB129" i="25"/>
  <c r="BR129" i="25" s="1"/>
  <c r="BA129" i="25"/>
  <c r="BC129" i="25"/>
  <c r="BS129" i="25" s="1"/>
  <c r="BB182" i="25"/>
  <c r="BR182" i="25" s="1"/>
  <c r="BC182" i="25"/>
  <c r="BS182" i="25" s="1"/>
  <c r="BA182" i="25"/>
  <c r="BB176" i="25"/>
  <c r="BR176" i="25" s="1"/>
  <c r="BC176" i="25"/>
  <c r="BS176" i="25" s="1"/>
  <c r="BA176" i="25"/>
  <c r="BC149" i="25"/>
  <c r="BS149" i="25" s="1"/>
  <c r="BB149" i="25"/>
  <c r="BR149" i="25" s="1"/>
  <c r="BA149" i="25"/>
  <c r="BB185" i="25"/>
  <c r="BR185" i="25" s="1"/>
  <c r="BC185" i="25"/>
  <c r="BS185" i="25" s="1"/>
  <c r="BA185" i="25"/>
  <c r="BC128" i="25"/>
  <c r="BS128" i="25" s="1"/>
  <c r="BB128" i="25"/>
  <c r="BR128" i="25" s="1"/>
  <c r="BA128" i="25"/>
  <c r="BC116" i="25"/>
  <c r="BS116" i="25" s="1"/>
  <c r="BA116" i="25"/>
  <c r="BB116" i="25"/>
  <c r="BR116" i="25" s="1"/>
  <c r="BC184" i="25"/>
  <c r="BS184" i="25" s="1"/>
  <c r="BA184" i="25"/>
  <c r="BB184" i="25"/>
  <c r="BR184" i="25" s="1"/>
  <c r="BA172" i="25"/>
  <c r="BB172" i="25"/>
  <c r="BR172" i="25" s="1"/>
  <c r="BC172" i="25"/>
  <c r="BS172" i="25" s="1"/>
  <c r="BC151" i="25"/>
  <c r="BS151" i="25" s="1"/>
  <c r="BB151" i="25"/>
  <c r="BR151" i="25" s="1"/>
  <c r="BA151" i="25"/>
  <c r="BB125" i="25"/>
  <c r="BR125" i="25" s="1"/>
  <c r="BA125" i="25"/>
  <c r="BC125" i="25"/>
  <c r="BS125" i="25" s="1"/>
  <c r="BA208" i="25"/>
  <c r="BB208" i="25"/>
  <c r="BR208" i="25" s="1"/>
  <c r="BC208" i="25"/>
  <c r="BS208" i="25" s="1"/>
  <c r="BB141" i="25"/>
  <c r="BR141" i="25" s="1"/>
  <c r="BC141" i="25"/>
  <c r="BS141" i="25" s="1"/>
  <c r="BA141" i="25"/>
  <c r="BB134" i="25"/>
  <c r="BR134" i="25" s="1"/>
  <c r="BC134" i="25"/>
  <c r="BS134" i="25" s="1"/>
  <c r="BA134" i="25"/>
  <c r="BC162" i="25"/>
  <c r="BS162" i="25" s="1"/>
  <c r="BA162" i="25"/>
  <c r="BB162" i="25"/>
  <c r="BR162" i="25" s="1"/>
  <c r="BA130" i="25"/>
  <c r="BB130" i="25"/>
  <c r="BR130" i="25" s="1"/>
  <c r="BC130" i="25"/>
  <c r="BS130" i="25" s="1"/>
  <c r="BC173" i="25"/>
  <c r="BS173" i="25" s="1"/>
  <c r="BA173" i="25"/>
  <c r="BB173" i="25"/>
  <c r="BR173" i="25" s="1"/>
  <c r="BA143" i="25"/>
  <c r="BB143" i="25"/>
  <c r="BR143" i="25" s="1"/>
  <c r="BC143" i="25"/>
  <c r="BS143" i="25" s="1"/>
  <c r="BB187" i="25"/>
  <c r="BR187" i="25" s="1"/>
  <c r="BC187" i="25"/>
  <c r="BS187" i="25" s="1"/>
  <c r="BA187" i="25"/>
  <c r="BC127" i="25"/>
  <c r="BS127" i="25" s="1"/>
  <c r="BB127" i="25"/>
  <c r="BR127" i="25" s="1"/>
  <c r="BA127" i="25"/>
  <c r="BA135" i="25"/>
  <c r="BB135" i="25"/>
  <c r="BR135" i="25" s="1"/>
  <c r="BC135" i="25"/>
  <c r="BS135" i="25" s="1"/>
  <c r="BB167" i="25"/>
  <c r="BR167" i="25" s="1"/>
  <c r="BA167" i="25"/>
  <c r="BC167" i="25"/>
  <c r="BS167" i="25" s="1"/>
  <c r="BC123" i="25"/>
  <c r="BS123" i="25" s="1"/>
  <c r="BA123" i="25"/>
  <c r="BB123" i="25"/>
  <c r="BR123" i="25" s="1"/>
  <c r="BA207" i="25"/>
  <c r="BC207" i="25"/>
  <c r="BS207" i="25" s="1"/>
  <c r="BB207" i="25"/>
  <c r="BR207" i="25" s="1"/>
  <c r="BA203" i="25"/>
  <c r="BC203" i="25"/>
  <c r="BS203" i="25" s="1"/>
  <c r="BB203" i="25"/>
  <c r="BR203" i="25" s="1"/>
  <c r="BC169" i="25"/>
  <c r="BS169" i="25" s="1"/>
  <c r="BA169" i="25"/>
  <c r="BB169" i="25"/>
  <c r="BR169" i="25" s="1"/>
  <c r="BA142" i="25"/>
  <c r="BC142" i="25"/>
  <c r="BS142" i="25" s="1"/>
  <c r="BB142" i="25"/>
  <c r="BR142" i="25" s="1"/>
  <c r="BA168" i="25"/>
  <c r="BC168" i="25"/>
  <c r="BS168" i="25" s="1"/>
  <c r="BB168" i="25"/>
  <c r="BR168" i="25" s="1"/>
  <c r="BA177" i="25"/>
  <c r="BB177" i="25"/>
  <c r="BR177" i="25" s="1"/>
  <c r="BC177" i="25"/>
  <c r="BS177" i="25" s="1"/>
  <c r="BB158" i="25"/>
  <c r="BR158" i="25" s="1"/>
  <c r="BA158" i="25"/>
  <c r="BC158" i="25"/>
  <c r="BS158" i="25" s="1"/>
  <c r="BB164" i="25"/>
  <c r="BR164" i="25" s="1"/>
  <c r="BA164" i="25"/>
  <c r="BC164" i="25"/>
  <c r="BS164" i="25" s="1"/>
  <c r="BA183" i="25"/>
  <c r="BB183" i="25"/>
  <c r="BR183" i="25" s="1"/>
  <c r="BC183" i="25"/>
  <c r="BS183" i="25" s="1"/>
  <c r="BB145" i="25"/>
  <c r="BR145" i="25" s="1"/>
  <c r="BC145" i="25"/>
  <c r="BS145" i="25" s="1"/>
  <c r="BA145" i="25"/>
  <c r="BB113" i="25"/>
  <c r="BR113" i="25" s="1"/>
  <c r="BA113" i="25"/>
  <c r="BC113" i="25"/>
  <c r="BS113" i="25" s="1"/>
  <c r="BC156" i="25"/>
  <c r="BS156" i="25" s="1"/>
  <c r="BA156" i="25"/>
  <c r="BB156" i="25"/>
  <c r="BR156" i="25" s="1"/>
  <c r="BB197" i="25"/>
  <c r="BR197" i="25" s="1"/>
  <c r="BC197" i="25"/>
  <c r="BS197" i="25" s="1"/>
  <c r="BA197" i="25"/>
  <c r="BA119" i="25"/>
  <c r="BC119" i="25"/>
  <c r="BS119" i="25" s="1"/>
  <c r="BB119" i="25"/>
  <c r="BR119" i="25" s="1"/>
  <c r="BB163" i="25"/>
  <c r="BR163" i="25" s="1"/>
  <c r="BA163" i="25"/>
  <c r="BC163" i="25"/>
  <c r="BS163" i="25" s="1"/>
  <c r="BB150" i="25"/>
  <c r="BR150" i="25" s="1"/>
  <c r="BC150" i="25"/>
  <c r="BS150" i="25" s="1"/>
  <c r="BA150" i="25"/>
  <c r="BC186" i="25"/>
  <c r="BS186" i="25" s="1"/>
  <c r="BB186" i="25"/>
  <c r="BR186" i="25" s="1"/>
  <c r="BA186" i="25"/>
  <c r="BA206" i="25"/>
  <c r="BB206" i="25"/>
  <c r="BR206" i="25" s="1"/>
  <c r="BC206" i="25"/>
  <c r="BS206" i="25" s="1"/>
  <c r="BA202" i="25"/>
  <c r="BB202" i="25"/>
  <c r="BR202" i="25" s="1"/>
  <c r="BC202" i="25"/>
  <c r="BS202" i="25" s="1"/>
  <c r="BC111" i="25"/>
  <c r="BS111" i="25" s="1"/>
  <c r="BB111" i="25"/>
  <c r="BR111" i="25" s="1"/>
  <c r="BA111" i="25"/>
  <c r="BC201" i="25"/>
  <c r="BS201" i="25" s="1"/>
  <c r="BA201" i="25"/>
  <c r="BB201" i="25"/>
  <c r="BR201" i="25" s="1"/>
  <c r="BB180" i="25"/>
  <c r="BR180" i="25" s="1"/>
  <c r="BC180" i="25"/>
  <c r="BS180" i="25" s="1"/>
  <c r="BA180" i="25"/>
  <c r="BA199" i="25"/>
  <c r="BB199" i="25"/>
  <c r="BR199" i="25" s="1"/>
  <c r="BC199" i="25"/>
  <c r="BS199" i="25" s="1"/>
  <c r="BC209" i="25"/>
  <c r="BS209" i="25" s="1"/>
  <c r="BB209" i="25"/>
  <c r="BR209" i="25" s="1"/>
  <c r="BA209" i="25"/>
  <c r="BC171" i="25"/>
  <c r="BS171" i="25" s="1"/>
  <c r="BA171" i="25"/>
  <c r="BB171" i="25"/>
  <c r="BR171" i="25" s="1"/>
  <c r="BA120" i="25"/>
  <c r="BB120" i="25"/>
  <c r="BR120" i="25" s="1"/>
  <c r="BC120" i="25"/>
  <c r="BS120" i="25" s="1"/>
  <c r="BA170" i="25"/>
  <c r="BB170" i="25"/>
  <c r="BR170" i="25" s="1"/>
  <c r="BC170" i="25"/>
  <c r="BS170" i="25" s="1"/>
  <c r="BA204" i="25"/>
  <c r="BB204" i="25"/>
  <c r="BR204" i="25" s="1"/>
  <c r="BC204" i="25"/>
  <c r="BS204" i="25" s="1"/>
  <c r="BA192" i="25"/>
  <c r="BB192" i="25"/>
  <c r="BR192" i="25" s="1"/>
  <c r="BC192" i="25"/>
  <c r="BS192" i="25" s="1"/>
  <c r="BB161" i="25"/>
  <c r="BR161" i="25" s="1"/>
  <c r="BA161" i="25"/>
  <c r="BC161" i="25"/>
  <c r="BS161" i="25" s="1"/>
  <c r="BC114" i="25"/>
  <c r="BS114" i="25" s="1"/>
  <c r="BA114" i="25"/>
  <c r="BB114" i="25"/>
  <c r="BR114" i="25" s="1"/>
  <c r="BC139" i="25"/>
  <c r="BS139" i="25" s="1"/>
  <c r="BB139" i="25"/>
  <c r="BR139" i="25" s="1"/>
  <c r="BA139" i="25"/>
  <c r="BA152" i="25"/>
  <c r="BB152" i="25"/>
  <c r="BR152" i="25" s="1"/>
  <c r="BC152" i="25"/>
  <c r="BS152" i="25" s="1"/>
  <c r="BA159" i="25"/>
  <c r="BB159" i="25"/>
  <c r="BR159" i="25" s="1"/>
  <c r="BC159" i="25"/>
  <c r="BS159" i="25" s="1"/>
  <c r="BA198" i="25"/>
  <c r="BB198" i="25"/>
  <c r="BR198" i="25" s="1"/>
  <c r="BC198" i="25"/>
  <c r="BS198" i="25" s="1"/>
  <c r="BA174" i="25"/>
  <c r="BC174" i="25"/>
  <c r="BS174" i="25" s="1"/>
  <c r="BB174" i="25"/>
  <c r="BR174" i="25" s="1"/>
  <c r="BC196" i="25"/>
  <c r="BS196" i="25" s="1"/>
  <c r="BB196" i="25"/>
  <c r="BR196" i="25" s="1"/>
  <c r="BA196" i="25"/>
  <c r="BB195" i="25"/>
  <c r="BR195" i="25" s="1"/>
  <c r="BC195" i="25"/>
  <c r="BS195" i="25" s="1"/>
  <c r="BA195" i="25"/>
  <c r="BC126" i="25"/>
  <c r="BS126" i="25" s="1"/>
  <c r="BB126" i="25"/>
  <c r="BR126" i="25" s="1"/>
  <c r="BA126" i="25"/>
  <c r="BA188" i="25"/>
  <c r="BB188" i="25"/>
  <c r="BR188" i="25" s="1"/>
  <c r="BC188" i="25"/>
  <c r="BS188" i="25" s="1"/>
  <c r="BA133" i="25"/>
  <c r="BB133" i="25"/>
  <c r="BR133" i="25" s="1"/>
  <c r="BC133" i="25"/>
  <c r="BS133" i="25" s="1"/>
  <c r="BA118" i="25"/>
  <c r="BC118" i="25"/>
  <c r="BS118" i="25" s="1"/>
  <c r="BB118" i="25"/>
  <c r="BR118" i="25" s="1"/>
  <c r="BB153" i="25"/>
  <c r="BR153" i="25" s="1"/>
  <c r="BC153" i="25"/>
  <c r="BS153" i="25" s="1"/>
  <c r="BA153" i="25"/>
  <c r="BA190" i="25"/>
  <c r="BC190" i="25"/>
  <c r="BS190" i="25" s="1"/>
  <c r="BB190" i="25"/>
  <c r="BR190" i="25" s="1"/>
  <c r="BC154" i="25"/>
  <c r="BS154" i="25" s="1"/>
  <c r="BA154" i="25"/>
  <c r="BB154" i="25"/>
  <c r="BR154" i="25" s="1"/>
  <c r="BA146" i="25"/>
  <c r="BC146" i="25"/>
  <c r="BS146" i="25" s="1"/>
  <c r="BB146" i="25"/>
  <c r="BR146" i="25" s="1"/>
  <c r="BC117" i="25"/>
  <c r="BS117" i="25" s="1"/>
  <c r="BB117" i="25"/>
  <c r="BR117" i="25" s="1"/>
  <c r="BA117" i="25"/>
  <c r="BA157" i="25"/>
  <c r="BC157" i="25"/>
  <c r="BS157" i="25" s="1"/>
  <c r="BB157" i="25"/>
  <c r="BR157" i="25" s="1"/>
  <c r="BA193" i="25"/>
  <c r="BB193" i="25"/>
  <c r="BR193" i="25" s="1"/>
  <c r="BC193" i="25"/>
  <c r="BS193" i="25" s="1"/>
  <c r="BA137" i="25"/>
  <c r="BC137" i="25"/>
  <c r="BS137" i="25" s="1"/>
  <c r="BB137" i="25"/>
  <c r="BR137" i="25" s="1"/>
  <c r="BC165" i="25"/>
  <c r="BS165" i="25" s="1"/>
  <c r="BB165" i="25"/>
  <c r="BR165" i="25" s="1"/>
  <c r="BA165" i="25"/>
  <c r="BA155" i="25"/>
  <c r="BC155" i="25"/>
  <c r="BS155" i="25" s="1"/>
  <c r="BB155" i="25"/>
  <c r="BR155" i="25" s="1"/>
  <c r="BA132" i="25"/>
  <c r="BC132" i="25"/>
  <c r="BS132" i="25" s="1"/>
  <c r="BB132" i="25"/>
  <c r="BR132" i="25" s="1"/>
  <c r="BA131" i="25"/>
  <c r="BB131" i="25"/>
  <c r="BR131" i="25" s="1"/>
  <c r="BC131" i="25"/>
  <c r="BS131" i="25" s="1"/>
  <c r="BC138" i="25"/>
  <c r="BS138" i="25" s="1"/>
  <c r="BB138" i="25"/>
  <c r="BR138" i="25" s="1"/>
  <c r="BA138" i="25"/>
  <c r="BC189" i="25"/>
  <c r="BS189" i="25" s="1"/>
  <c r="BA189" i="25"/>
  <c r="BB189" i="25"/>
  <c r="BR189" i="25" s="1"/>
  <c r="BA181" i="25"/>
  <c r="BB181" i="25"/>
  <c r="BR181" i="25" s="1"/>
  <c r="BC181" i="25"/>
  <c r="BS181" i="25" s="1"/>
  <c r="BC144" i="25"/>
  <c r="BS144" i="25" s="1"/>
  <c r="BA144" i="25"/>
  <c r="BB144" i="25"/>
  <c r="BR144" i="25" s="1"/>
  <c r="BA205" i="25"/>
  <c r="BB205" i="25"/>
  <c r="BR205" i="25" s="1"/>
  <c r="BC205" i="25"/>
  <c r="BS205" i="25" s="1"/>
  <c r="BA160" i="25"/>
  <c r="BB160" i="25"/>
  <c r="BR160" i="25" s="1"/>
  <c r="BC160" i="25"/>
  <c r="BS160" i="25" s="1"/>
  <c r="BC112" i="25"/>
  <c r="BS112" i="25" s="1"/>
  <c r="BB112" i="25"/>
  <c r="BR112" i="25" s="1"/>
  <c r="BA112" i="25"/>
  <c r="BA178" i="25"/>
  <c r="BB178" i="25"/>
  <c r="BR178" i="25" s="1"/>
  <c r="BC178" i="25"/>
  <c r="BS178" i="25" s="1"/>
  <c r="BC115" i="25"/>
  <c r="BS115" i="25" s="1"/>
  <c r="BA115" i="25"/>
  <c r="BB115" i="25"/>
  <c r="BR115" i="25" s="1"/>
  <c r="BC122" i="25"/>
  <c r="BS122" i="25" s="1"/>
  <c r="BA122" i="25"/>
  <c r="BB122" i="25"/>
  <c r="BR122" i="25" s="1"/>
  <c r="BC194" i="25"/>
  <c r="BS194" i="25" s="1"/>
  <c r="BA194" i="25"/>
  <c r="BB194" i="25"/>
  <c r="BR194" i="25" s="1"/>
  <c r="BA121" i="25"/>
  <c r="BB121" i="25"/>
  <c r="BR121" i="25" s="1"/>
  <c r="BC121" i="25"/>
  <c r="BS121" i="25" s="1"/>
  <c r="BB136" i="25"/>
  <c r="BR136" i="25" s="1"/>
  <c r="BA136" i="25"/>
  <c r="BC136" i="25"/>
  <c r="BS136" i="25" s="1"/>
  <c r="BC148" i="25"/>
  <c r="BS148" i="25" s="1"/>
  <c r="BB148" i="25"/>
  <c r="BR148" i="25" s="1"/>
  <c r="BA148" i="25"/>
  <c r="BB175" i="25"/>
  <c r="BR175" i="25" s="1"/>
  <c r="BC175" i="25"/>
  <c r="BS175" i="25" s="1"/>
  <c r="BA175" i="25"/>
  <c r="BC191" i="25"/>
  <c r="BS191" i="25" s="1"/>
  <c r="BA191" i="25"/>
  <c r="BB191" i="25"/>
  <c r="BR191" i="25" s="1"/>
  <c r="BA210" i="25"/>
  <c r="BC210" i="25"/>
  <c r="BS210" i="25" s="1"/>
  <c r="BB210" i="25"/>
  <c r="BR210" i="25" s="1"/>
  <c r="AU122" i="24"/>
  <c r="AW167" i="24"/>
  <c r="BE167" i="24" s="1"/>
  <c r="BS167" i="24" s="1"/>
  <c r="AW115" i="24"/>
  <c r="BE115" i="24" s="1"/>
  <c r="BS115" i="24" s="1"/>
  <c r="AW165" i="24"/>
  <c r="BE165" i="24" s="1"/>
  <c r="BS165" i="24" s="1"/>
  <c r="BE120" i="24"/>
  <c r="BS120" i="24" s="1"/>
  <c r="BD120" i="24"/>
  <c r="AY120" i="24"/>
  <c r="AZ120" i="24" s="1"/>
  <c r="BE145" i="24"/>
  <c r="BS145" i="24" s="1"/>
  <c r="AY145" i="24"/>
  <c r="AZ145" i="24" s="1"/>
  <c r="BD145" i="24"/>
  <c r="BD154" i="24"/>
  <c r="BE154" i="24"/>
  <c r="BS154" i="24" s="1"/>
  <c r="AY154" i="24"/>
  <c r="AZ154" i="24" s="1"/>
  <c r="BD122" i="24"/>
  <c r="BE122" i="24"/>
  <c r="BS122" i="24" s="1"/>
  <c r="AY122" i="24"/>
  <c r="AZ122" i="24" s="1"/>
  <c r="BD116" i="24"/>
  <c r="AY116" i="24"/>
  <c r="AZ116" i="24" s="1"/>
  <c r="BE116" i="24"/>
  <c r="BS116" i="24" s="1"/>
  <c r="BD133" i="24"/>
  <c r="BE133" i="24"/>
  <c r="BS133" i="24" s="1"/>
  <c r="AY133" i="24"/>
  <c r="AZ133" i="24" s="1"/>
  <c r="BD139" i="24"/>
  <c r="BE139" i="24"/>
  <c r="BS139" i="24" s="1"/>
  <c r="AY139" i="24"/>
  <c r="AZ139" i="24" s="1"/>
  <c r="BE175" i="24"/>
  <c r="BS175" i="24" s="1"/>
  <c r="AY175" i="24"/>
  <c r="AZ175" i="24" s="1"/>
  <c r="BD175" i="24"/>
  <c r="BE200" i="24"/>
  <c r="BS200" i="24" s="1"/>
  <c r="BD200" i="24"/>
  <c r="AY200" i="24"/>
  <c r="AZ200" i="24" s="1"/>
  <c r="BD183" i="24"/>
  <c r="AY183" i="24"/>
  <c r="AZ183" i="24" s="1"/>
  <c r="BE183" i="24"/>
  <c r="BS183" i="24" s="1"/>
  <c r="BD118" i="24"/>
  <c r="AY118" i="24"/>
  <c r="AZ118" i="24" s="1"/>
  <c r="BE118" i="24"/>
  <c r="BS118" i="24" s="1"/>
  <c r="AY124" i="24"/>
  <c r="AZ124" i="24" s="1"/>
  <c r="BE124" i="24"/>
  <c r="BS124" i="24" s="1"/>
  <c r="BD124" i="24"/>
  <c r="AY158" i="24"/>
  <c r="AZ158" i="24" s="1"/>
  <c r="BD158" i="24"/>
  <c r="BE158" i="24"/>
  <c r="BS158" i="24" s="1"/>
  <c r="BE151" i="24"/>
  <c r="BS151" i="24" s="1"/>
  <c r="AY151" i="24"/>
  <c r="AZ151" i="24" s="1"/>
  <c r="BD151" i="24"/>
  <c r="AY185" i="24"/>
  <c r="AZ185" i="24" s="1"/>
  <c r="BE185" i="24"/>
  <c r="BS185" i="24" s="1"/>
  <c r="BD185" i="24"/>
  <c r="BD131" i="24"/>
  <c r="AY131" i="24"/>
  <c r="AZ131" i="24" s="1"/>
  <c r="BE131" i="24"/>
  <c r="BS131" i="24" s="1"/>
  <c r="BD205" i="24"/>
  <c r="BE205" i="24"/>
  <c r="BS205" i="24" s="1"/>
  <c r="AY205" i="24"/>
  <c r="AZ205" i="24" s="1"/>
  <c r="BD204" i="24"/>
  <c r="BE204" i="24"/>
  <c r="BS204" i="24" s="1"/>
  <c r="AY204" i="24"/>
  <c r="AZ204" i="24" s="1"/>
  <c r="BE132" i="24"/>
  <c r="BS132" i="24" s="1"/>
  <c r="BD132" i="24"/>
  <c r="AY132" i="24"/>
  <c r="AZ132" i="24" s="1"/>
  <c r="BE135" i="24"/>
  <c r="BS135" i="24" s="1"/>
  <c r="BD135" i="24"/>
  <c r="AY135" i="24"/>
  <c r="AZ135" i="24" s="1"/>
  <c r="BD207" i="24"/>
  <c r="BE207" i="24"/>
  <c r="BS207" i="24" s="1"/>
  <c r="AY207" i="24"/>
  <c r="AZ207" i="24" s="1"/>
  <c r="BD163" i="24"/>
  <c r="AY163" i="24"/>
  <c r="AZ163" i="24" s="1"/>
  <c r="BE163" i="24"/>
  <c r="BS163" i="24" s="1"/>
  <c r="BD184" i="24"/>
  <c r="AY184" i="24"/>
  <c r="AZ184" i="24" s="1"/>
  <c r="BE184" i="24"/>
  <c r="BS184" i="24" s="1"/>
  <c r="BD162" i="24"/>
  <c r="BE162" i="24"/>
  <c r="BS162" i="24" s="1"/>
  <c r="AY162" i="24"/>
  <c r="AZ162" i="24" s="1"/>
  <c r="BD117" i="24"/>
  <c r="AY117" i="24"/>
  <c r="AZ117" i="24" s="1"/>
  <c r="BE117" i="24"/>
  <c r="BS117" i="24" s="1"/>
  <c r="BD128" i="24"/>
  <c r="AY128" i="24"/>
  <c r="AZ128" i="24" s="1"/>
  <c r="BE128" i="24"/>
  <c r="BS128" i="24" s="1"/>
  <c r="BE164" i="24"/>
  <c r="BS164" i="24" s="1"/>
  <c r="BD164" i="24"/>
  <c r="AY164" i="24"/>
  <c r="AZ164" i="24" s="1"/>
  <c r="AY179" i="24"/>
  <c r="AZ179" i="24" s="1"/>
  <c r="BD179" i="24"/>
  <c r="BE179" i="24"/>
  <c r="BS179" i="24" s="1"/>
  <c r="BD138" i="24"/>
  <c r="BE138" i="24"/>
  <c r="BS138" i="24" s="1"/>
  <c r="AY138" i="24"/>
  <c r="AZ138" i="24" s="1"/>
  <c r="BD148" i="24"/>
  <c r="AY148" i="24"/>
  <c r="AZ148" i="24" s="1"/>
  <c r="BE148" i="24"/>
  <c r="BS148" i="24" s="1"/>
  <c r="BD111" i="24"/>
  <c r="BE111" i="24"/>
  <c r="BS111" i="24" s="1"/>
  <c r="AY111" i="24"/>
  <c r="AZ111" i="24" s="1"/>
  <c r="BE143" i="24"/>
  <c r="BS143" i="24" s="1"/>
  <c r="BD143" i="24"/>
  <c r="AY143" i="24"/>
  <c r="AZ143" i="24" s="1"/>
  <c r="AY160" i="24"/>
  <c r="AZ160" i="24" s="1"/>
  <c r="BE160" i="24"/>
  <c r="BS160" i="24" s="1"/>
  <c r="BD160" i="24"/>
  <c r="BD166" i="24"/>
  <c r="BE153" i="24"/>
  <c r="BS153" i="24" s="1"/>
  <c r="BD153" i="24"/>
  <c r="AY153" i="24"/>
  <c r="AZ153" i="24" s="1"/>
  <c r="AY177" i="24"/>
  <c r="AZ177" i="24" s="1"/>
  <c r="BE177" i="24"/>
  <c r="BS177" i="24" s="1"/>
  <c r="BD177" i="24"/>
  <c r="AY142" i="24"/>
  <c r="AZ142" i="24" s="1"/>
  <c r="BD142" i="24"/>
  <c r="BE142" i="24"/>
  <c r="BS142" i="24" s="1"/>
  <c r="BD178" i="24"/>
  <c r="AY178" i="24"/>
  <c r="AZ178" i="24" s="1"/>
  <c r="BE178" i="24"/>
  <c r="BS178" i="24" s="1"/>
  <c r="BE171" i="24"/>
  <c r="BS171" i="24" s="1"/>
  <c r="BD171" i="24"/>
  <c r="AY171" i="24"/>
  <c r="AZ171" i="24" s="1"/>
  <c r="BE121" i="24"/>
  <c r="BS121" i="24" s="1"/>
  <c r="AY121" i="24"/>
  <c r="AZ121" i="24" s="1"/>
  <c r="BD121" i="24"/>
  <c r="AY180" i="24"/>
  <c r="AZ180" i="24" s="1"/>
  <c r="BE180" i="24"/>
  <c r="BS180" i="24" s="1"/>
  <c r="BD180" i="24"/>
  <c r="AY187" i="24"/>
  <c r="AZ187" i="24" s="1"/>
  <c r="BE187" i="24"/>
  <c r="BS187" i="24" s="1"/>
  <c r="BD187" i="24"/>
  <c r="AY197" i="24"/>
  <c r="AZ197" i="24" s="1"/>
  <c r="BD197" i="24"/>
  <c r="BE197" i="24"/>
  <c r="BS197" i="24" s="1"/>
  <c r="AY190" i="24"/>
  <c r="AZ190" i="24" s="1"/>
  <c r="BD190" i="24"/>
  <c r="BE190" i="24"/>
  <c r="BS190" i="24" s="1"/>
  <c r="AY137" i="24"/>
  <c r="AZ137" i="24" s="1"/>
  <c r="BE137" i="24"/>
  <c r="BS137" i="24" s="1"/>
  <c r="BD137" i="24"/>
  <c r="BD173" i="24"/>
  <c r="BE173" i="24"/>
  <c r="BS173" i="24" s="1"/>
  <c r="AY173" i="24"/>
  <c r="AZ173" i="24" s="1"/>
  <c r="BD125" i="24"/>
  <c r="BE125" i="24"/>
  <c r="BS125" i="24" s="1"/>
  <c r="AY125" i="24"/>
  <c r="AZ125" i="24" s="1"/>
  <c r="BE113" i="24"/>
  <c r="BS113" i="24" s="1"/>
  <c r="AY113" i="24"/>
  <c r="AZ113" i="24" s="1"/>
  <c r="BD113" i="24"/>
  <c r="BD129" i="24"/>
  <c r="BE129" i="24"/>
  <c r="BS129" i="24" s="1"/>
  <c r="AY129" i="24"/>
  <c r="AZ129" i="24" s="1"/>
  <c r="BD201" i="24"/>
  <c r="AY201" i="24"/>
  <c r="AZ201" i="24" s="1"/>
  <c r="BE201" i="24"/>
  <c r="BS201" i="24" s="1"/>
  <c r="BE186" i="24"/>
  <c r="BS186" i="24" s="1"/>
  <c r="AY186" i="24"/>
  <c r="AZ186" i="24" s="1"/>
  <c r="BD186" i="24"/>
  <c r="BD147" i="24"/>
  <c r="AY147" i="24"/>
  <c r="AZ147" i="24" s="1"/>
  <c r="BE147" i="24"/>
  <c r="BS147" i="24" s="1"/>
  <c r="BE152" i="24"/>
  <c r="BS152" i="24" s="1"/>
  <c r="BD152" i="24"/>
  <c r="AY152" i="24"/>
  <c r="AZ152" i="24" s="1"/>
  <c r="BD126" i="24"/>
  <c r="BE126" i="24"/>
  <c r="BS126" i="24" s="1"/>
  <c r="AY126" i="24"/>
  <c r="AZ126" i="24" s="1"/>
  <c r="BE127" i="24"/>
  <c r="BS127" i="24" s="1"/>
  <c r="AY127" i="24"/>
  <c r="AZ127" i="24" s="1"/>
  <c r="BD127" i="24"/>
  <c r="BE140" i="24"/>
  <c r="BS140" i="24" s="1"/>
  <c r="BD140" i="24"/>
  <c r="AY140" i="24"/>
  <c r="AZ140" i="24" s="1"/>
  <c r="BD144" i="24"/>
  <c r="AY144" i="24"/>
  <c r="AZ144" i="24" s="1"/>
  <c r="BE144" i="24"/>
  <c r="BS144" i="24" s="1"/>
  <c r="BE202" i="24"/>
  <c r="BS202" i="24" s="1"/>
  <c r="AY202" i="24"/>
  <c r="AZ202" i="24" s="1"/>
  <c r="BD202" i="24"/>
  <c r="BD196" i="24"/>
  <c r="AY196" i="24"/>
  <c r="AZ196" i="24" s="1"/>
  <c r="BE196" i="24"/>
  <c r="BS196" i="24" s="1"/>
  <c r="AY157" i="24"/>
  <c r="AZ157" i="24" s="1"/>
  <c r="BE157" i="24"/>
  <c r="BS157" i="24" s="1"/>
  <c r="BD157" i="24"/>
  <c r="AY174" i="24"/>
  <c r="AZ174" i="24" s="1"/>
  <c r="BD174" i="24"/>
  <c r="BE174" i="24"/>
  <c r="BS174" i="24" s="1"/>
  <c r="BE198" i="24"/>
  <c r="BS198" i="24" s="1"/>
  <c r="AY198" i="24"/>
  <c r="AZ198" i="24" s="1"/>
  <c r="BD198" i="24"/>
  <c r="BD150" i="24"/>
  <c r="AY150" i="24"/>
  <c r="AZ150" i="24" s="1"/>
  <c r="BE150" i="24"/>
  <c r="BS150" i="24" s="1"/>
  <c r="BE170" i="24"/>
  <c r="BS170" i="24" s="1"/>
  <c r="AY170" i="24"/>
  <c r="AZ170" i="24" s="1"/>
  <c r="BD170" i="24"/>
  <c r="BD146" i="24"/>
  <c r="BE146" i="24"/>
  <c r="BS146" i="24" s="1"/>
  <c r="AY146" i="24"/>
  <c r="AZ146" i="24" s="1"/>
  <c r="BV58" i="24"/>
  <c r="CD58" i="24"/>
  <c r="BA58" i="25"/>
  <c r="BQ58" i="25" s="1"/>
  <c r="BB58" i="25"/>
  <c r="AZ69" i="24"/>
  <c r="AZ95" i="24"/>
  <c r="AU152" i="24"/>
  <c r="AZ91" i="24"/>
  <c r="AZ78" i="24"/>
  <c r="AX15" i="24"/>
  <c r="BV15" i="24"/>
  <c r="AX88" i="24"/>
  <c r="BV88" i="24"/>
  <c r="BV67" i="24"/>
  <c r="BV103" i="24"/>
  <c r="BV90" i="24"/>
  <c r="BV94" i="24"/>
  <c r="AZ87" i="24"/>
  <c r="AZ105" i="24"/>
  <c r="BV9" i="24"/>
  <c r="AQ99" i="24"/>
  <c r="BV99" i="24"/>
  <c r="AQ102" i="24"/>
  <c r="BV102" i="24"/>
  <c r="AQ13" i="24"/>
  <c r="BV13" i="24"/>
  <c r="BV71" i="24"/>
  <c r="BV93" i="24"/>
  <c r="CD6" i="24"/>
  <c r="BV6" i="24"/>
  <c r="BV77" i="24"/>
  <c r="AU278" i="24"/>
  <c r="AU78" i="24"/>
  <c r="BB78" i="24" s="1"/>
  <c r="AU217" i="24"/>
  <c r="AW305" i="24"/>
  <c r="AW182" i="24"/>
  <c r="AU70" i="24"/>
  <c r="BB70" i="24" s="1"/>
  <c r="AW193" i="24"/>
  <c r="AZ70" i="24"/>
  <c r="AX49" i="24"/>
  <c r="CD49" i="24"/>
  <c r="AW203" i="24"/>
  <c r="AW260" i="24"/>
  <c r="AU132" i="24"/>
  <c r="AZ60" i="24"/>
  <c r="AW238" i="24"/>
  <c r="AW289" i="24"/>
  <c r="AU128" i="24"/>
  <c r="AW191" i="24"/>
  <c r="AW73" i="24"/>
  <c r="AY73" i="24" s="1"/>
  <c r="AZ73" i="24" s="1"/>
  <c r="AW33" i="24"/>
  <c r="AY33" i="24" s="1"/>
  <c r="AZ33" i="24" s="1"/>
  <c r="AW176" i="24"/>
  <c r="AW159" i="24"/>
  <c r="AU255" i="24"/>
  <c r="AW114" i="24"/>
  <c r="AW242" i="24"/>
  <c r="AU226" i="24"/>
  <c r="AW311" i="24"/>
  <c r="AW291" i="24"/>
  <c r="AW312" i="24"/>
  <c r="AU204" i="24"/>
  <c r="AW189" i="24"/>
  <c r="AW225" i="24"/>
  <c r="AW209" i="24"/>
  <c r="AU147" i="24"/>
  <c r="AU146" i="24"/>
  <c r="AU81" i="24"/>
  <c r="BB81" i="24" s="1"/>
  <c r="AZ55" i="24"/>
  <c r="AW181" i="24"/>
  <c r="AW130" i="24"/>
  <c r="AU55" i="24"/>
  <c r="BB55" i="24" s="1"/>
  <c r="AW295" i="24"/>
  <c r="AU170" i="24"/>
  <c r="AQ98" i="24"/>
  <c r="CD98" i="24"/>
  <c r="AU25" i="24"/>
  <c r="BB25" i="24" s="1"/>
  <c r="AW206" i="24"/>
  <c r="AW168" i="24"/>
  <c r="AW265" i="24"/>
  <c r="AU308" i="24"/>
  <c r="AW188" i="24"/>
  <c r="AU150" i="24"/>
  <c r="AU198" i="24"/>
  <c r="AW195" i="24"/>
  <c r="AW156" i="24"/>
  <c r="AW284" i="24"/>
  <c r="AW232" i="24"/>
  <c r="AW306" i="24"/>
  <c r="AU162" i="24"/>
  <c r="AW112" i="24"/>
  <c r="AU117" i="24"/>
  <c r="AU10" i="24"/>
  <c r="BB10" i="24" s="1"/>
  <c r="AU174" i="24"/>
  <c r="AW199" i="24"/>
  <c r="BD104" i="24"/>
  <c r="BG104" i="24" s="1"/>
  <c r="BL104" i="24" s="1"/>
  <c r="BM104" i="24" s="1"/>
  <c r="AZ10" i="24"/>
  <c r="AW136" i="24"/>
  <c r="AW51" i="24"/>
  <c r="AY51" i="24" s="1"/>
  <c r="AZ51" i="24" s="1"/>
  <c r="AU205" i="24"/>
  <c r="AU60" i="24"/>
  <c r="BB60" i="24" s="1"/>
  <c r="AW123" i="24"/>
  <c r="AU184" i="24"/>
  <c r="AU163" i="24"/>
  <c r="AW208" i="24"/>
  <c r="AW119" i="24"/>
  <c r="AZ101" i="24"/>
  <c r="AW110" i="24"/>
  <c r="AU196" i="24"/>
  <c r="AU95" i="24"/>
  <c r="BB95" i="24" s="1"/>
  <c r="AW141" i="24"/>
  <c r="AU157" i="24"/>
  <c r="AW86" i="24"/>
  <c r="AY86" i="24" s="1"/>
  <c r="AZ86" i="24" s="1"/>
  <c r="AW149" i="24"/>
  <c r="AU186" i="24"/>
  <c r="AZ41" i="24"/>
  <c r="AU101" i="24"/>
  <c r="BB101" i="24" s="1"/>
  <c r="AW23" i="24"/>
  <c r="AY23" i="24" s="1"/>
  <c r="AZ23" i="24" s="1"/>
  <c r="AW194" i="24"/>
  <c r="AW192" i="24"/>
  <c r="AU131" i="24"/>
  <c r="AU41" i="24"/>
  <c r="BB41" i="24" s="1"/>
  <c r="AU105" i="24"/>
  <c r="B127" i="2" s="1"/>
  <c r="AW97" i="24"/>
  <c r="AY97" i="24" s="1"/>
  <c r="AZ97" i="24" s="1"/>
  <c r="AW210" i="24"/>
  <c r="AW172" i="24"/>
  <c r="AW161" i="24"/>
  <c r="AW43" i="24"/>
  <c r="AY43" i="24" s="1"/>
  <c r="AZ43" i="24" s="1"/>
  <c r="AW64" i="24"/>
  <c r="AY64" i="24" s="1"/>
  <c r="AZ64" i="24" s="1"/>
  <c r="BE104" i="24"/>
  <c r="BS104" i="24" s="1"/>
  <c r="AU14" i="24"/>
  <c r="BB14" i="24" s="1"/>
  <c r="AW27" i="24"/>
  <c r="AY27" i="24" s="1"/>
  <c r="AZ27" i="24" s="1"/>
  <c r="AQ88" i="24"/>
  <c r="AU207" i="24"/>
  <c r="AZ14" i="24"/>
  <c r="AW155" i="24"/>
  <c r="BJ49" i="24"/>
  <c r="AS49" i="24"/>
  <c r="AW49" i="24" s="1"/>
  <c r="AY49" i="24" s="1"/>
  <c r="BJ88" i="24"/>
  <c r="BT88" i="24"/>
  <c r="AU50" i="24"/>
  <c r="BB50" i="24" s="1"/>
  <c r="BH88" i="24"/>
  <c r="AS88" i="24"/>
  <c r="AW88" i="24" s="1"/>
  <c r="AY88" i="24" s="1"/>
  <c r="BI88" i="24"/>
  <c r="AW169" i="24"/>
  <c r="AU91" i="24"/>
  <c r="BB91" i="24" s="1"/>
  <c r="AQ49" i="24"/>
  <c r="BT13" i="24"/>
  <c r="AW134" i="24"/>
  <c r="BH49" i="24"/>
  <c r="AW65" i="24"/>
  <c r="AY65" i="24" s="1"/>
  <c r="AZ65" i="24" s="1"/>
  <c r="AU110" i="25"/>
  <c r="AS71" i="24"/>
  <c r="BT71" i="24"/>
  <c r="AU87" i="24"/>
  <c r="BB87" i="24" s="1"/>
  <c r="AW35" i="24"/>
  <c r="AY35" i="24" s="1"/>
  <c r="AZ35" i="24" s="1"/>
  <c r="BI49" i="24"/>
  <c r="BI71" i="24"/>
  <c r="BH71" i="24"/>
  <c r="AW81" i="24"/>
  <c r="AY81" i="24" s="1"/>
  <c r="AZ81" i="24" s="1"/>
  <c r="BT49" i="24"/>
  <c r="AX71" i="24"/>
  <c r="AQ71" i="24"/>
  <c r="AW22" i="24"/>
  <c r="AY22" i="24" s="1"/>
  <c r="AZ22" i="24" s="1"/>
  <c r="AX13" i="24"/>
  <c r="AS13" i="24"/>
  <c r="BH13" i="24"/>
  <c r="BJ13" i="24"/>
  <c r="BD34" i="24"/>
  <c r="BG34" i="24" s="1"/>
  <c r="BL34" i="24" s="1"/>
  <c r="BM34" i="24" s="1"/>
  <c r="AS15" i="24"/>
  <c r="BJ15" i="24"/>
  <c r="BI15" i="24"/>
  <c r="AU34" i="24"/>
  <c r="BB34" i="24" s="1"/>
  <c r="BE34" i="24"/>
  <c r="BS34" i="24" s="1"/>
  <c r="BD69" i="24"/>
  <c r="BR69" i="24" s="1"/>
  <c r="BR5" i="24"/>
  <c r="BE69" i="24"/>
  <c r="BS69" i="24" s="1"/>
  <c r="AU69" i="24"/>
  <c r="BB69" i="24" s="1"/>
  <c r="BH15" i="24"/>
  <c r="BT15" i="24"/>
  <c r="AQ15" i="24"/>
  <c r="AU22" i="24"/>
  <c r="BB22" i="24" s="1"/>
  <c r="BI102" i="24"/>
  <c r="AS102" i="24"/>
  <c r="BH102" i="24"/>
  <c r="AX102" i="24"/>
  <c r="BJ102" i="24"/>
  <c r="BT102" i="24"/>
  <c r="BH48" i="24"/>
  <c r="AX48" i="24"/>
  <c r="BI48" i="24"/>
  <c r="AQ48" i="24"/>
  <c r="BT48" i="24"/>
  <c r="BJ48" i="24"/>
  <c r="AS48" i="24"/>
  <c r="AX93" i="24"/>
  <c r="BI93" i="24"/>
  <c r="AS93" i="24"/>
  <c r="BH93" i="24"/>
  <c r="BJ93" i="24"/>
  <c r="AQ93" i="24"/>
  <c r="BT93" i="24"/>
  <c r="AX8" i="24"/>
  <c r="BJ8" i="24"/>
  <c r="AQ8" i="24"/>
  <c r="BI8" i="24"/>
  <c r="AS8" i="24"/>
  <c r="BH8" i="24"/>
  <c r="BT8" i="24"/>
  <c r="AX37" i="24"/>
  <c r="BI37" i="24"/>
  <c r="AS37" i="24"/>
  <c r="BJ37" i="24"/>
  <c r="AQ37" i="24"/>
  <c r="BT37" i="24"/>
  <c r="BH37" i="24"/>
  <c r="BT94" i="24"/>
  <c r="AX94" i="24"/>
  <c r="AQ94" i="24"/>
  <c r="BH94" i="24"/>
  <c r="BJ94" i="24"/>
  <c r="AS94" i="24"/>
  <c r="BI94" i="24"/>
  <c r="BH16" i="24"/>
  <c r="BT16" i="24"/>
  <c r="BJ16" i="24"/>
  <c r="AQ16" i="24"/>
  <c r="AS16" i="24"/>
  <c r="BI16" i="24"/>
  <c r="AX16" i="24"/>
  <c r="BH75" i="24"/>
  <c r="BJ75" i="24"/>
  <c r="AQ75" i="24"/>
  <c r="AS75" i="24"/>
  <c r="AX75" i="24"/>
  <c r="BI75" i="24"/>
  <c r="BT75" i="24"/>
  <c r="BH57" i="24"/>
  <c r="BI57" i="24"/>
  <c r="BT57" i="24"/>
  <c r="AS57" i="24"/>
  <c r="AQ57" i="24"/>
  <c r="BJ57" i="24"/>
  <c r="AX57" i="24"/>
  <c r="BJ47" i="24"/>
  <c r="AQ47" i="24"/>
  <c r="BI47" i="24"/>
  <c r="AX47" i="24"/>
  <c r="BH47" i="24"/>
  <c r="BT47" i="24"/>
  <c r="AS47" i="24"/>
  <c r="AX99" i="24"/>
  <c r="BH99" i="24"/>
  <c r="AS99" i="24"/>
  <c r="BT99" i="24"/>
  <c r="BJ99" i="24"/>
  <c r="BI99" i="24"/>
  <c r="AX103" i="24"/>
  <c r="AS103" i="24"/>
  <c r="BH103" i="24"/>
  <c r="BI103" i="24"/>
  <c r="BJ103" i="24"/>
  <c r="BT103" i="24"/>
  <c r="BT98" i="24"/>
  <c r="BH98" i="24"/>
  <c r="BI98" i="24"/>
  <c r="AX98" i="24"/>
  <c r="AS98" i="24"/>
  <c r="BJ98" i="24"/>
  <c r="BH45" i="24"/>
  <c r="AS45" i="24"/>
  <c r="AX45" i="24"/>
  <c r="BT45" i="24"/>
  <c r="BJ45" i="24"/>
  <c r="BI45" i="24"/>
  <c r="AQ45" i="24"/>
  <c r="BH24" i="24"/>
  <c r="BJ24" i="24"/>
  <c r="AS24" i="24"/>
  <c r="AX24" i="24"/>
  <c r="AQ24" i="24"/>
  <c r="BT24" i="24"/>
  <c r="BI24" i="24"/>
  <c r="AX58" i="24"/>
  <c r="AS58" i="24"/>
  <c r="BH58" i="24"/>
  <c r="AQ58" i="24"/>
  <c r="BI58" i="24"/>
  <c r="BJ58" i="24"/>
  <c r="BT58" i="24"/>
  <c r="AX84" i="24"/>
  <c r="AQ84" i="24"/>
  <c r="BH84" i="24"/>
  <c r="BJ84" i="24"/>
  <c r="BT84" i="24"/>
  <c r="BI84" i="24"/>
  <c r="AS84" i="24"/>
  <c r="BH12" i="24"/>
  <c r="BJ12" i="24"/>
  <c r="AS12" i="24"/>
  <c r="AX12" i="24"/>
  <c r="BT12" i="24"/>
  <c r="AQ12" i="24"/>
  <c r="BI12" i="24"/>
  <c r="AX38" i="24"/>
  <c r="BI38" i="24"/>
  <c r="AS38" i="24"/>
  <c r="BT38" i="24"/>
  <c r="BJ38" i="24"/>
  <c r="AQ38" i="24"/>
  <c r="BH38" i="24"/>
  <c r="AX9" i="24"/>
  <c r="AS9" i="24"/>
  <c r="BI9" i="24"/>
  <c r="AQ9" i="24"/>
  <c r="BJ9" i="24"/>
  <c r="AX67" i="24"/>
  <c r="BH67" i="24"/>
  <c r="BI67" i="24"/>
  <c r="AS67" i="24"/>
  <c r="BT67" i="24"/>
  <c r="BJ67" i="24"/>
  <c r="AQ67" i="24"/>
  <c r="BT80" i="24"/>
  <c r="BH80" i="24"/>
  <c r="BI80" i="24"/>
  <c r="AS80" i="24"/>
  <c r="AQ80" i="24"/>
  <c r="AX80" i="24"/>
  <c r="BJ80" i="24"/>
  <c r="AX26" i="24"/>
  <c r="BT26" i="24"/>
  <c r="BJ26" i="24"/>
  <c r="BI26" i="24"/>
  <c r="AQ26" i="24"/>
  <c r="BH26" i="24"/>
  <c r="AS26" i="24"/>
  <c r="BH44" i="24"/>
  <c r="BJ44" i="24"/>
  <c r="BT44" i="24"/>
  <c r="BI44" i="24"/>
  <c r="AS44" i="24"/>
  <c r="AX44" i="24"/>
  <c r="AQ44" i="24"/>
  <c r="AX77" i="24"/>
  <c r="BJ77" i="24"/>
  <c r="AQ77" i="24"/>
  <c r="BH77" i="24"/>
  <c r="BT77" i="24"/>
  <c r="BI77" i="24"/>
  <c r="AS77" i="24"/>
  <c r="AX39" i="24"/>
  <c r="AS39" i="24"/>
  <c r="BJ39" i="24"/>
  <c r="BH39" i="24"/>
  <c r="BT39" i="24"/>
  <c r="BI39" i="24"/>
  <c r="AQ39" i="24"/>
  <c r="AX52" i="24"/>
  <c r="BH52" i="24"/>
  <c r="BJ52" i="24"/>
  <c r="AQ52" i="24"/>
  <c r="BT52" i="24"/>
  <c r="BI52" i="24"/>
  <c r="AS52" i="24"/>
  <c r="BT90" i="24"/>
  <c r="BJ90" i="24"/>
  <c r="AX90" i="24"/>
  <c r="AS90" i="24"/>
  <c r="BI90" i="24"/>
  <c r="AQ90" i="24"/>
  <c r="BH90" i="24"/>
  <c r="BH30" i="24"/>
  <c r="AS30" i="24"/>
  <c r="BT30" i="24"/>
  <c r="BI30" i="24"/>
  <c r="BJ30" i="24"/>
  <c r="AX30" i="24"/>
  <c r="AQ30" i="24"/>
  <c r="AX62" i="24"/>
  <c r="BH62" i="24"/>
  <c r="AS62" i="24"/>
  <c r="BT62" i="24"/>
  <c r="BJ62" i="24"/>
  <c r="BI62" i="24"/>
  <c r="AQ62" i="24"/>
  <c r="AX11" i="24"/>
  <c r="AS11" i="24"/>
  <c r="BI11" i="24"/>
  <c r="BJ11" i="24"/>
  <c r="BT11" i="24"/>
  <c r="AQ11" i="24"/>
  <c r="BH11" i="24"/>
  <c r="BH76" i="24"/>
  <c r="BI76" i="24"/>
  <c r="AS76" i="24"/>
  <c r="BT76" i="24"/>
  <c r="AQ76" i="24"/>
  <c r="AX76" i="24"/>
  <c r="BJ76" i="24"/>
  <c r="BH9" i="24"/>
  <c r="AX17" i="24"/>
  <c r="BT17" i="24"/>
  <c r="BI17" i="24"/>
  <c r="BJ17" i="24"/>
  <c r="BH17" i="24"/>
  <c r="AQ17" i="24"/>
  <c r="AS17" i="24"/>
  <c r="AS20" i="24"/>
  <c r="BT20" i="24"/>
  <c r="BJ20" i="24"/>
  <c r="BH20" i="24"/>
  <c r="BI20" i="24"/>
  <c r="AQ20" i="24"/>
  <c r="AX20" i="24"/>
  <c r="BH66" i="24"/>
  <c r="BI66" i="24"/>
  <c r="AS66" i="24"/>
  <c r="BT66" i="24"/>
  <c r="AX66" i="24"/>
  <c r="BJ66" i="24"/>
  <c r="AQ66" i="24"/>
  <c r="AX61" i="24"/>
  <c r="BT61" i="24"/>
  <c r="AS61" i="24"/>
  <c r="BH61" i="24"/>
  <c r="BI61" i="24"/>
  <c r="AQ61" i="24"/>
  <c r="BJ61" i="24"/>
  <c r="BI7" i="24"/>
  <c r="AQ7" i="24"/>
  <c r="AX7" i="24"/>
  <c r="BJ7" i="24"/>
  <c r="AS7" i="24"/>
  <c r="BH7" i="24"/>
  <c r="BT7" i="24"/>
  <c r="AX6" i="24"/>
  <c r="BI6" i="24"/>
  <c r="AS6" i="24"/>
  <c r="BT6" i="24"/>
  <c r="BH6" i="24"/>
  <c r="AQ6" i="24"/>
  <c r="BJ6" i="24"/>
  <c r="BE40" i="24"/>
  <c r="BS40" i="24" s="1"/>
  <c r="AY105" i="25"/>
  <c r="BB8" i="25"/>
  <c r="BC8" i="25"/>
  <c r="BS8" i="25" s="1"/>
  <c r="BB82" i="25"/>
  <c r="BC82" i="25"/>
  <c r="BS82" i="25" s="1"/>
  <c r="BB74" i="25"/>
  <c r="BC74" i="25"/>
  <c r="BS74" i="25" s="1"/>
  <c r="BB45" i="25"/>
  <c r="BC45" i="25"/>
  <c r="BS45" i="25" s="1"/>
  <c r="BB62" i="25"/>
  <c r="BC62" i="25"/>
  <c r="BS62" i="25" s="1"/>
  <c r="BB103" i="25"/>
  <c r="BC103" i="25"/>
  <c r="BS103" i="25" s="1"/>
  <c r="BC44" i="25"/>
  <c r="BS44" i="25" s="1"/>
  <c r="BB44" i="25"/>
  <c r="BC28" i="25"/>
  <c r="BS28" i="25" s="1"/>
  <c r="BB28" i="25"/>
  <c r="BB7" i="25"/>
  <c r="BC7" i="25"/>
  <c r="BS7" i="25" s="1"/>
  <c r="BB101" i="25"/>
  <c r="BC101" i="25"/>
  <c r="BS101" i="25" s="1"/>
  <c r="BB46" i="25"/>
  <c r="BC46" i="25"/>
  <c r="BS46" i="25" s="1"/>
  <c r="BB9" i="25"/>
  <c r="BC9" i="25"/>
  <c r="BS9" i="25" s="1"/>
  <c r="BC78" i="25"/>
  <c r="BS78" i="25" s="1"/>
  <c r="BB78" i="25"/>
  <c r="BB22" i="25"/>
  <c r="BC22" i="25"/>
  <c r="BS22" i="25" s="1"/>
  <c r="BB67" i="25"/>
  <c r="BC67" i="25"/>
  <c r="BS67" i="25" s="1"/>
  <c r="BB51" i="25"/>
  <c r="BC51" i="25"/>
  <c r="BS51" i="25" s="1"/>
  <c r="BB77" i="25"/>
  <c r="BC77" i="25"/>
  <c r="BS77" i="25" s="1"/>
  <c r="BB10" i="25"/>
  <c r="BC10" i="25"/>
  <c r="BS10" i="25" s="1"/>
  <c r="BB30" i="25"/>
  <c r="BC30" i="25"/>
  <c r="BS30" i="25" s="1"/>
  <c r="BB91" i="25"/>
  <c r="BC91" i="25"/>
  <c r="BS91" i="25" s="1"/>
  <c r="BB13" i="25"/>
  <c r="BC13" i="25"/>
  <c r="BS13" i="25" s="1"/>
  <c r="BB31" i="25"/>
  <c r="BC31" i="25"/>
  <c r="BS31" i="25" s="1"/>
  <c r="BB96" i="25"/>
  <c r="BC96" i="25"/>
  <c r="BS96" i="25" s="1"/>
  <c r="BB104" i="25"/>
  <c r="BC104" i="25"/>
  <c r="BS104" i="25" s="1"/>
  <c r="BB25" i="25"/>
  <c r="BC25" i="25"/>
  <c r="BS25" i="25" s="1"/>
  <c r="BC60" i="25"/>
  <c r="BS60" i="25" s="1"/>
  <c r="BB60" i="25"/>
  <c r="BB66" i="25"/>
  <c r="BC66" i="25"/>
  <c r="BS66" i="25" s="1"/>
  <c r="BB73" i="25"/>
  <c r="BC73" i="25"/>
  <c r="BS73" i="25" s="1"/>
  <c r="BB98" i="25"/>
  <c r="BC98" i="25"/>
  <c r="BS98" i="25" s="1"/>
  <c r="BB81" i="25"/>
  <c r="BC81" i="25"/>
  <c r="BS81" i="25" s="1"/>
  <c r="BB34" i="25"/>
  <c r="BC34" i="25"/>
  <c r="BS34" i="25" s="1"/>
  <c r="BB21" i="25"/>
  <c r="BC21" i="25"/>
  <c r="BS21" i="25" s="1"/>
  <c r="BC56" i="25"/>
  <c r="BS56" i="25" s="1"/>
  <c r="BB56" i="25"/>
  <c r="BC86" i="25"/>
  <c r="BS86" i="25" s="1"/>
  <c r="BB86" i="25"/>
  <c r="BB87" i="25"/>
  <c r="BC87" i="25"/>
  <c r="BS87" i="25" s="1"/>
  <c r="BB75" i="25"/>
  <c r="BC75" i="25"/>
  <c r="BS75" i="25" s="1"/>
  <c r="BC36" i="25"/>
  <c r="BS36" i="25" s="1"/>
  <c r="BB36" i="25"/>
  <c r="BB11" i="25"/>
  <c r="BC11" i="25"/>
  <c r="BS11" i="25" s="1"/>
  <c r="BB38" i="25"/>
  <c r="BC38" i="25"/>
  <c r="BS38" i="25" s="1"/>
  <c r="BB69" i="25"/>
  <c r="BC69" i="25"/>
  <c r="BS69" i="25" s="1"/>
  <c r="BB59" i="25"/>
  <c r="BC59" i="25"/>
  <c r="BS59" i="25" s="1"/>
  <c r="BB76" i="25"/>
  <c r="BC76" i="25"/>
  <c r="BS76" i="25" s="1"/>
  <c r="BB27" i="25"/>
  <c r="BC27" i="25"/>
  <c r="BS27" i="25" s="1"/>
  <c r="BB79" i="25"/>
  <c r="BC79" i="25"/>
  <c r="BS79" i="25" s="1"/>
  <c r="BB54" i="25"/>
  <c r="BC54" i="25"/>
  <c r="BS54" i="25" s="1"/>
  <c r="BB71" i="25"/>
  <c r="BC71" i="25"/>
  <c r="BS71" i="25" s="1"/>
  <c r="BB15" i="25"/>
  <c r="BC15" i="25"/>
  <c r="BS15" i="25" s="1"/>
  <c r="BB105" i="25"/>
  <c r="BC105" i="25"/>
  <c r="BS105" i="25" s="1"/>
  <c r="BB18" i="25"/>
  <c r="BC18" i="25"/>
  <c r="BS18" i="25" s="1"/>
  <c r="BC32" i="25"/>
  <c r="BS32" i="25" s="1"/>
  <c r="BB32" i="25"/>
  <c r="BB57" i="25"/>
  <c r="BC57" i="25"/>
  <c r="BS57" i="25" s="1"/>
  <c r="BB65" i="25"/>
  <c r="BC65" i="25"/>
  <c r="BS65" i="25" s="1"/>
  <c r="BC72" i="25"/>
  <c r="BS72" i="25" s="1"/>
  <c r="BB72" i="25"/>
  <c r="BB29" i="25"/>
  <c r="BC29" i="25"/>
  <c r="BS29" i="25" s="1"/>
  <c r="BB88" i="25"/>
  <c r="BC88" i="25"/>
  <c r="BS88" i="25" s="1"/>
  <c r="BB12" i="25"/>
  <c r="BC12" i="25"/>
  <c r="BS12" i="25" s="1"/>
  <c r="BC64" i="25"/>
  <c r="BS64" i="25" s="1"/>
  <c r="BB64" i="25"/>
  <c r="BB26" i="25"/>
  <c r="BC26" i="25"/>
  <c r="BS26" i="25" s="1"/>
  <c r="BB100" i="25"/>
  <c r="BC100" i="25"/>
  <c r="BS100" i="25" s="1"/>
  <c r="BB97" i="25"/>
  <c r="BC97" i="25"/>
  <c r="BS97" i="25" s="1"/>
  <c r="BB19" i="25"/>
  <c r="BC19" i="25"/>
  <c r="BS19" i="25" s="1"/>
  <c r="BB20" i="25"/>
  <c r="BC20" i="25"/>
  <c r="BS20" i="25" s="1"/>
  <c r="BB17" i="25"/>
  <c r="BC17" i="25"/>
  <c r="BS17" i="25" s="1"/>
  <c r="BB47" i="25"/>
  <c r="BC47" i="25"/>
  <c r="BS47" i="25" s="1"/>
  <c r="BB63" i="25"/>
  <c r="BC63" i="25"/>
  <c r="BS63" i="25" s="1"/>
  <c r="BB53" i="25"/>
  <c r="BC53" i="25"/>
  <c r="BS53" i="25" s="1"/>
  <c r="BB93" i="25"/>
  <c r="BC93" i="25"/>
  <c r="BS93" i="25" s="1"/>
  <c r="BC68" i="25"/>
  <c r="BS68" i="25" s="1"/>
  <c r="BB68" i="25"/>
  <c r="BB24" i="25"/>
  <c r="BC24" i="25"/>
  <c r="BS24" i="25" s="1"/>
  <c r="BC94" i="25"/>
  <c r="BS94" i="25" s="1"/>
  <c r="BB94" i="25"/>
  <c r="BC52" i="25"/>
  <c r="BS52" i="25" s="1"/>
  <c r="BB52" i="25"/>
  <c r="BB92" i="25"/>
  <c r="BC92" i="25"/>
  <c r="BS92" i="25" s="1"/>
  <c r="BB33" i="25"/>
  <c r="BC33" i="25"/>
  <c r="BS33" i="25" s="1"/>
  <c r="BB99" i="25"/>
  <c r="BC99" i="25"/>
  <c r="BS99" i="25" s="1"/>
  <c r="BB95" i="25"/>
  <c r="BC95" i="25"/>
  <c r="BS95" i="25" s="1"/>
  <c r="BB55" i="25"/>
  <c r="BC55" i="25"/>
  <c r="BS55" i="25" s="1"/>
  <c r="BB70" i="25"/>
  <c r="BC70" i="25"/>
  <c r="BS70" i="25" s="1"/>
  <c r="BC102" i="25"/>
  <c r="BS102" i="25" s="1"/>
  <c r="BB102" i="25"/>
  <c r="BB83" i="25"/>
  <c r="BC83" i="25"/>
  <c r="BS83" i="25" s="1"/>
  <c r="BB14" i="25"/>
  <c r="BC14" i="25"/>
  <c r="BS14" i="25" s="1"/>
  <c r="BB80" i="25"/>
  <c r="BC80" i="25"/>
  <c r="BS80" i="25" s="1"/>
  <c r="BB42" i="25"/>
  <c r="BC42" i="25"/>
  <c r="BS42" i="25" s="1"/>
  <c r="BB6" i="25"/>
  <c r="BC6" i="25"/>
  <c r="BS6" i="25" s="1"/>
  <c r="BB49" i="25"/>
  <c r="BC49" i="25"/>
  <c r="BS49" i="25" s="1"/>
  <c r="BB37" i="25"/>
  <c r="BC37" i="25"/>
  <c r="BS37" i="25" s="1"/>
  <c r="BB50" i="25"/>
  <c r="BC50" i="25"/>
  <c r="BS50" i="25" s="1"/>
  <c r="BB89" i="25"/>
  <c r="BC89" i="25"/>
  <c r="BS89" i="25" s="1"/>
  <c r="BC48" i="25"/>
  <c r="BS48" i="25" s="1"/>
  <c r="BB48" i="25"/>
  <c r="BB39" i="25"/>
  <c r="BC39" i="25"/>
  <c r="BS39" i="25" s="1"/>
  <c r="BC40" i="25"/>
  <c r="BS40" i="25" s="1"/>
  <c r="BB40" i="25"/>
  <c r="BB23" i="25"/>
  <c r="BC23" i="25"/>
  <c r="BS23" i="25" s="1"/>
  <c r="BB61" i="25"/>
  <c r="BC61" i="25"/>
  <c r="BS61" i="25" s="1"/>
  <c r="BB16" i="25"/>
  <c r="BC16" i="25"/>
  <c r="BS16" i="25" s="1"/>
  <c r="BB41" i="25"/>
  <c r="BC41" i="25"/>
  <c r="BS41" i="25" s="1"/>
  <c r="BB35" i="25"/>
  <c r="BC35" i="25"/>
  <c r="BS35" i="25" s="1"/>
  <c r="BB90" i="25"/>
  <c r="BC90" i="25"/>
  <c r="BS90" i="25" s="1"/>
  <c r="BB84" i="25"/>
  <c r="BC84" i="25"/>
  <c r="BS84" i="25" s="1"/>
  <c r="BB85" i="25"/>
  <c r="BC85" i="25"/>
  <c r="BS85" i="25" s="1"/>
  <c r="BB43" i="25"/>
  <c r="BC43" i="25"/>
  <c r="BS43" i="25" s="1"/>
  <c r="AT5" i="25"/>
  <c r="AY5" i="25" s="1"/>
  <c r="AU5" i="25"/>
  <c r="BD40" i="24"/>
  <c r="BG40" i="24" s="1"/>
  <c r="BL40" i="24" s="1"/>
  <c r="BM40" i="24" s="1"/>
  <c r="BA90" i="25"/>
  <c r="BQ90" i="25" s="1"/>
  <c r="BA33" i="25"/>
  <c r="BQ33" i="25" s="1"/>
  <c r="BA55" i="25"/>
  <c r="BQ55" i="25" s="1"/>
  <c r="BA60" i="25"/>
  <c r="BQ60" i="25" s="1"/>
  <c r="BA98" i="25"/>
  <c r="BQ98" i="25" s="1"/>
  <c r="BA95" i="25"/>
  <c r="BE95" i="25" s="1"/>
  <c r="BJ95" i="25" s="1"/>
  <c r="BR58" i="25"/>
  <c r="BA18" i="25"/>
  <c r="BE18" i="25" s="1"/>
  <c r="BJ18" i="25" s="1"/>
  <c r="BA65" i="25"/>
  <c r="BQ65" i="25" s="1"/>
  <c r="B96" i="2"/>
  <c r="B99" i="2"/>
  <c r="E23" i="1" s="1"/>
  <c r="B109" i="2"/>
  <c r="L23" i="1" s="1"/>
  <c r="B106" i="2"/>
  <c r="BA43" i="25"/>
  <c r="BQ43" i="25" s="1"/>
  <c r="BA32" i="25"/>
  <c r="BQ32" i="25" s="1"/>
  <c r="BA73" i="25"/>
  <c r="BQ73" i="25" s="1"/>
  <c r="BA57" i="25"/>
  <c r="BE57" i="25" s="1"/>
  <c r="BJ57" i="25" s="1"/>
  <c r="BA85" i="25"/>
  <c r="BE85" i="25" s="1"/>
  <c r="BJ85" i="25" s="1"/>
  <c r="BA99" i="25"/>
  <c r="BQ99" i="25" s="1"/>
  <c r="BA84" i="25"/>
  <c r="BE84" i="25" s="1"/>
  <c r="BJ84" i="25" s="1"/>
  <c r="BA66" i="25"/>
  <c r="BE66" i="25" s="1"/>
  <c r="BJ66" i="25" s="1"/>
  <c r="BA70" i="25"/>
  <c r="BA81" i="25"/>
  <c r="BA34" i="25"/>
  <c r="BA21" i="25"/>
  <c r="BA56" i="25"/>
  <c r="BA86" i="25"/>
  <c r="BA87" i="25"/>
  <c r="BA6" i="25"/>
  <c r="BA49" i="25"/>
  <c r="BA37" i="25"/>
  <c r="BA50" i="25"/>
  <c r="BA89" i="25"/>
  <c r="BA48" i="25"/>
  <c r="BA39" i="25"/>
  <c r="BA40" i="25"/>
  <c r="BA54" i="25"/>
  <c r="BA71" i="25"/>
  <c r="BA105" i="25"/>
  <c r="BA8" i="25"/>
  <c r="BA29" i="25"/>
  <c r="BA88" i="25"/>
  <c r="BA62" i="25"/>
  <c r="BA103" i="25"/>
  <c r="BA26" i="25"/>
  <c r="BA100" i="25"/>
  <c r="BA28" i="25"/>
  <c r="BA7" i="25"/>
  <c r="BA101" i="25"/>
  <c r="BA46" i="25"/>
  <c r="BA9" i="25"/>
  <c r="BA78" i="25"/>
  <c r="BA22" i="25"/>
  <c r="BA47" i="25"/>
  <c r="BA63" i="25"/>
  <c r="BA51" i="25"/>
  <c r="BA77" i="25"/>
  <c r="BA93" i="25"/>
  <c r="BA68" i="25"/>
  <c r="BA24" i="25"/>
  <c r="BA31" i="25"/>
  <c r="BA96" i="25"/>
  <c r="BA104" i="25"/>
  <c r="BA25" i="25"/>
  <c r="BA102" i="25"/>
  <c r="BA83" i="25"/>
  <c r="BA14" i="25"/>
  <c r="BA80" i="25"/>
  <c r="BA42" i="25"/>
  <c r="BA75" i="25"/>
  <c r="BA36" i="25"/>
  <c r="BA11" i="25"/>
  <c r="BA38" i="25"/>
  <c r="BA69" i="25"/>
  <c r="BA59" i="25"/>
  <c r="BA76" i="25"/>
  <c r="BA27" i="25"/>
  <c r="BA79" i="25"/>
  <c r="BA23" i="25"/>
  <c r="BA61" i="25"/>
  <c r="BA16" i="25"/>
  <c r="BA15" i="25"/>
  <c r="BA41" i="25"/>
  <c r="BA35" i="25"/>
  <c r="BA72" i="25"/>
  <c r="BA82" i="25"/>
  <c r="BA74" i="25"/>
  <c r="BA45" i="25"/>
  <c r="BA12" i="25"/>
  <c r="BA64" i="25"/>
  <c r="BA44" i="25"/>
  <c r="BA97" i="25"/>
  <c r="BA19" i="25"/>
  <c r="BA20" i="25"/>
  <c r="BA17" i="25"/>
  <c r="BA67" i="25"/>
  <c r="BA53" i="25"/>
  <c r="BA10" i="25"/>
  <c r="BA30" i="25"/>
  <c r="BA91" i="25"/>
  <c r="BA13" i="25"/>
  <c r="BA94" i="25"/>
  <c r="BA52" i="25"/>
  <c r="BA92" i="25"/>
  <c r="BR53" i="24"/>
  <c r="BR32" i="24"/>
  <c r="BD85" i="24"/>
  <c r="BG85" i="24" s="1"/>
  <c r="BL85" i="24" s="1"/>
  <c r="BM85" i="24" s="1"/>
  <c r="BE85" i="24"/>
  <c r="BS85" i="24" s="1"/>
  <c r="BD21" i="24"/>
  <c r="BG21" i="24" s="1"/>
  <c r="BL21" i="24" s="1"/>
  <c r="BM21" i="24" s="1"/>
  <c r="BE21" i="24"/>
  <c r="BS21" i="24" s="1"/>
  <c r="BD95" i="24"/>
  <c r="BG95" i="24" s="1"/>
  <c r="BL95" i="24" s="1"/>
  <c r="BM95" i="24" s="1"/>
  <c r="BE95" i="24"/>
  <c r="BS95" i="24" s="1"/>
  <c r="BD68" i="24"/>
  <c r="BG68" i="24" s="1"/>
  <c r="BL68" i="24" s="1"/>
  <c r="BM68" i="24" s="1"/>
  <c r="BE68" i="24"/>
  <c r="BS68" i="24" s="1"/>
  <c r="BD28" i="24"/>
  <c r="BR28" i="24" s="1"/>
  <c r="BE28" i="24"/>
  <c r="BS28" i="24" s="1"/>
  <c r="BD14" i="24"/>
  <c r="BG14" i="24" s="1"/>
  <c r="BL14" i="24" s="1"/>
  <c r="BM14" i="24" s="1"/>
  <c r="BE14" i="24"/>
  <c r="BS14" i="24" s="1"/>
  <c r="BD92" i="24"/>
  <c r="BG92" i="24" s="1"/>
  <c r="BL92" i="24" s="1"/>
  <c r="BM92" i="24" s="1"/>
  <c r="BE92" i="24"/>
  <c r="BS92" i="24" s="1"/>
  <c r="BD55" i="24"/>
  <c r="BR55" i="24" s="1"/>
  <c r="BE55" i="24"/>
  <c r="BS55" i="24" s="1"/>
  <c r="BD105" i="24"/>
  <c r="BG105" i="24" s="1"/>
  <c r="BL105" i="24" s="1"/>
  <c r="BM105" i="24" s="1"/>
  <c r="BE105" i="24"/>
  <c r="BS105" i="24" s="1"/>
  <c r="BD63" i="24"/>
  <c r="BR63" i="24" s="1"/>
  <c r="BE63" i="24"/>
  <c r="BS63" i="24" s="1"/>
  <c r="BD36" i="24"/>
  <c r="BG36" i="24" s="1"/>
  <c r="BL36" i="24" s="1"/>
  <c r="BM36" i="24" s="1"/>
  <c r="BE36" i="24"/>
  <c r="BS36" i="24" s="1"/>
  <c r="BD42" i="24"/>
  <c r="BR42" i="24" s="1"/>
  <c r="BE42" i="24"/>
  <c r="BS42" i="24" s="1"/>
  <c r="BD59" i="24"/>
  <c r="BG59" i="24" s="1"/>
  <c r="BL59" i="24" s="1"/>
  <c r="BM59" i="24" s="1"/>
  <c r="BE59" i="24"/>
  <c r="BS59" i="24" s="1"/>
  <c r="BD19" i="24"/>
  <c r="BR19" i="24" s="1"/>
  <c r="BE19" i="24"/>
  <c r="BS19" i="24" s="1"/>
  <c r="BD54" i="24"/>
  <c r="BG54" i="24" s="1"/>
  <c r="BL54" i="24" s="1"/>
  <c r="BM54" i="24" s="1"/>
  <c r="BE54" i="24"/>
  <c r="BS54" i="24" s="1"/>
  <c r="BD82" i="24"/>
  <c r="BG82" i="24" s="1"/>
  <c r="BL82" i="24" s="1"/>
  <c r="BM82" i="24" s="1"/>
  <c r="BE82" i="24"/>
  <c r="BS82" i="24" s="1"/>
  <c r="BD60" i="24"/>
  <c r="BR60" i="24" s="1"/>
  <c r="BE60" i="24"/>
  <c r="BS60" i="24" s="1"/>
  <c r="BD29" i="24"/>
  <c r="BG29" i="24" s="1"/>
  <c r="BL29" i="24" s="1"/>
  <c r="BM29" i="24" s="1"/>
  <c r="BE29" i="24"/>
  <c r="BS29" i="24" s="1"/>
  <c r="BD18" i="24"/>
  <c r="BR18" i="24" s="1"/>
  <c r="BE18" i="24"/>
  <c r="BS18" i="24" s="1"/>
  <c r="BD100" i="24"/>
  <c r="BR100" i="24" s="1"/>
  <c r="BE100" i="24"/>
  <c r="BS100" i="24" s="1"/>
  <c r="BD46" i="24"/>
  <c r="BR46" i="24" s="1"/>
  <c r="BE46" i="24"/>
  <c r="BS46" i="24" s="1"/>
  <c r="BD31" i="24"/>
  <c r="BR31" i="24" s="1"/>
  <c r="BE31" i="24"/>
  <c r="BS31" i="24" s="1"/>
  <c r="BD41" i="24"/>
  <c r="BG41" i="24" s="1"/>
  <c r="BL41" i="24" s="1"/>
  <c r="BM41" i="24" s="1"/>
  <c r="BE41" i="24"/>
  <c r="BS41" i="24" s="1"/>
  <c r="BD83" i="24"/>
  <c r="BR83" i="24" s="1"/>
  <c r="BE83" i="24"/>
  <c r="BS83" i="24" s="1"/>
  <c r="BD91" i="24"/>
  <c r="BG91" i="24" s="1"/>
  <c r="BL91" i="24" s="1"/>
  <c r="BM91" i="24" s="1"/>
  <c r="BE91" i="24"/>
  <c r="BS91" i="24" s="1"/>
  <c r="BD78" i="24"/>
  <c r="BG78" i="24" s="1"/>
  <c r="BL78" i="24" s="1"/>
  <c r="BM78" i="24" s="1"/>
  <c r="BE78" i="24"/>
  <c r="BS78" i="24" s="1"/>
  <c r="BD96" i="24"/>
  <c r="BG96" i="24" s="1"/>
  <c r="BL96" i="24" s="1"/>
  <c r="BM96" i="24" s="1"/>
  <c r="BE96" i="24"/>
  <c r="BS96" i="24" s="1"/>
  <c r="BD79" i="24"/>
  <c r="BG79" i="24" s="1"/>
  <c r="BL79" i="24" s="1"/>
  <c r="BM79" i="24" s="1"/>
  <c r="BE79" i="24"/>
  <c r="BS79" i="24" s="1"/>
  <c r="BD87" i="24"/>
  <c r="BG87" i="24" s="1"/>
  <c r="BL87" i="24" s="1"/>
  <c r="BM87" i="24" s="1"/>
  <c r="BE87" i="24"/>
  <c r="BS87" i="24" s="1"/>
  <c r="BD72" i="24"/>
  <c r="BR72" i="24" s="1"/>
  <c r="BE72" i="24"/>
  <c r="BS72" i="24" s="1"/>
  <c r="BD74" i="24"/>
  <c r="BG74" i="24" s="1"/>
  <c r="BL74" i="24" s="1"/>
  <c r="BM74" i="24" s="1"/>
  <c r="BE74" i="24"/>
  <c r="BS74" i="24" s="1"/>
  <c r="BD56" i="24"/>
  <c r="BR56" i="24" s="1"/>
  <c r="BE56" i="24"/>
  <c r="BS56" i="24" s="1"/>
  <c r="BD25" i="24"/>
  <c r="BR25" i="24" s="1"/>
  <c r="BE25" i="24"/>
  <c r="BS25" i="24" s="1"/>
  <c r="BD70" i="24"/>
  <c r="BR70" i="24" s="1"/>
  <c r="BE70" i="24"/>
  <c r="BS70" i="24" s="1"/>
  <c r="BD89" i="24"/>
  <c r="BG89" i="24" s="1"/>
  <c r="BL89" i="24" s="1"/>
  <c r="BM89" i="24" s="1"/>
  <c r="BE89" i="24"/>
  <c r="BS89" i="24" s="1"/>
  <c r="BD10" i="24"/>
  <c r="BR10" i="24" s="1"/>
  <c r="BE10" i="24"/>
  <c r="BS10" i="24" s="1"/>
  <c r="BD101" i="24"/>
  <c r="BR101" i="24" s="1"/>
  <c r="BE101" i="24"/>
  <c r="BS101" i="24" s="1"/>
  <c r="BD50" i="24"/>
  <c r="BR50" i="24" s="1"/>
  <c r="BE50" i="24"/>
  <c r="BS50" i="24" s="1"/>
  <c r="F64" i="19"/>
  <c r="F65" i="19"/>
  <c r="BK85" i="25" l="1"/>
  <c r="BK95" i="25"/>
  <c r="BK84" i="25"/>
  <c r="BK18" i="25"/>
  <c r="BK66" i="25"/>
  <c r="BK57" i="25"/>
  <c r="BU58" i="25"/>
  <c r="BU70" i="24"/>
  <c r="BU10" i="24"/>
  <c r="BU50" i="24"/>
  <c r="BU18" i="24"/>
  <c r="BU25" i="24"/>
  <c r="BU32" i="24"/>
  <c r="BW32" i="24" s="1"/>
  <c r="BU46" i="24"/>
  <c r="BU28" i="24"/>
  <c r="BU56" i="24"/>
  <c r="BU72" i="24"/>
  <c r="BU83" i="24"/>
  <c r="BU31" i="24"/>
  <c r="BU100" i="24"/>
  <c r="BU19" i="24"/>
  <c r="BU42" i="24"/>
  <c r="BU63" i="24"/>
  <c r="BU55" i="24"/>
  <c r="BU53" i="24"/>
  <c r="BW53" i="24" s="1"/>
  <c r="BU69" i="24"/>
  <c r="BU60" i="24"/>
  <c r="BU101" i="24"/>
  <c r="BU5" i="24"/>
  <c r="BW5" i="24" s="1"/>
  <c r="BE166" i="24"/>
  <c r="BS166" i="24" s="1"/>
  <c r="BD167" i="24"/>
  <c r="BR167" i="24" s="1"/>
  <c r="BW167" i="24" s="1"/>
  <c r="BE191" i="25"/>
  <c r="BQ191" i="25"/>
  <c r="BW191" i="25" s="1"/>
  <c r="BE165" i="25"/>
  <c r="BQ165" i="25"/>
  <c r="BW165" i="25" s="1"/>
  <c r="BE152" i="25"/>
  <c r="BQ152" i="25"/>
  <c r="BW152" i="25" s="1"/>
  <c r="BE168" i="25"/>
  <c r="BQ168" i="25"/>
  <c r="BW168" i="25" s="1"/>
  <c r="BE136" i="25"/>
  <c r="BQ136" i="25"/>
  <c r="BW136" i="25" s="1"/>
  <c r="BE137" i="25"/>
  <c r="BQ137" i="25"/>
  <c r="BW137" i="25" s="1"/>
  <c r="BE159" i="25"/>
  <c r="BQ159" i="25"/>
  <c r="BW159" i="25" s="1"/>
  <c r="BE114" i="25"/>
  <c r="BQ114" i="25"/>
  <c r="BW114" i="25" s="1"/>
  <c r="BE111" i="25"/>
  <c r="BQ111" i="25"/>
  <c r="BW111" i="25" s="1"/>
  <c r="BE206" i="25"/>
  <c r="BQ206" i="25"/>
  <c r="BW206" i="25" s="1"/>
  <c r="BE163" i="25"/>
  <c r="BQ163" i="25"/>
  <c r="BW163" i="25" s="1"/>
  <c r="BE119" i="25"/>
  <c r="BQ119" i="25"/>
  <c r="BW119" i="25" s="1"/>
  <c r="BE158" i="25"/>
  <c r="BQ158" i="25"/>
  <c r="BW158" i="25" s="1"/>
  <c r="BQ210" i="25"/>
  <c r="BW210" i="25" s="1"/>
  <c r="BE210" i="25"/>
  <c r="BE175" i="25"/>
  <c r="BQ175" i="25"/>
  <c r="BW175" i="25" s="1"/>
  <c r="BQ122" i="25"/>
  <c r="BW122" i="25" s="1"/>
  <c r="BE122" i="25"/>
  <c r="BQ112" i="25"/>
  <c r="BW112" i="25" s="1"/>
  <c r="BE112" i="25"/>
  <c r="BE205" i="25"/>
  <c r="BQ205" i="25"/>
  <c r="BW205" i="25" s="1"/>
  <c r="BE189" i="25"/>
  <c r="BQ189" i="25"/>
  <c r="BW189" i="25" s="1"/>
  <c r="BQ196" i="25"/>
  <c r="BW196" i="25" s="1"/>
  <c r="BE196" i="25"/>
  <c r="BQ198" i="25"/>
  <c r="BW198" i="25" s="1"/>
  <c r="BE198" i="25"/>
  <c r="BE170" i="25"/>
  <c r="BQ170" i="25"/>
  <c r="BW170" i="25" s="1"/>
  <c r="BE199" i="25"/>
  <c r="BQ199" i="25"/>
  <c r="BW199" i="25" s="1"/>
  <c r="BE202" i="25"/>
  <c r="BQ202" i="25"/>
  <c r="BW202" i="25" s="1"/>
  <c r="BE186" i="25"/>
  <c r="BQ186" i="25"/>
  <c r="BW186" i="25" s="1"/>
  <c r="BE197" i="25"/>
  <c r="BQ197" i="25"/>
  <c r="BW197" i="25" s="1"/>
  <c r="BE156" i="25"/>
  <c r="BQ156" i="25"/>
  <c r="BW156" i="25" s="1"/>
  <c r="BE164" i="25"/>
  <c r="BQ164" i="25"/>
  <c r="BW164" i="25" s="1"/>
  <c r="BE123" i="25"/>
  <c r="BQ123" i="25"/>
  <c r="BW123" i="25" s="1"/>
  <c r="BE127" i="25"/>
  <c r="BQ127" i="25"/>
  <c r="BW127" i="25" s="1"/>
  <c r="BE143" i="25"/>
  <c r="BQ143" i="25"/>
  <c r="BW143" i="25" s="1"/>
  <c r="BQ162" i="25"/>
  <c r="BW162" i="25" s="1"/>
  <c r="BE162" i="25"/>
  <c r="BE125" i="25"/>
  <c r="BQ125" i="25"/>
  <c r="BW125" i="25" s="1"/>
  <c r="BE116" i="25"/>
  <c r="BQ116" i="25"/>
  <c r="BW116" i="25" s="1"/>
  <c r="BE149" i="25"/>
  <c r="BQ149" i="25"/>
  <c r="BW149" i="25" s="1"/>
  <c r="BE144" i="25"/>
  <c r="BQ144" i="25"/>
  <c r="BE181" i="25"/>
  <c r="BQ181" i="25"/>
  <c r="BW181" i="25" s="1"/>
  <c r="BE138" i="25"/>
  <c r="BQ138" i="25"/>
  <c r="BW138" i="25" s="1"/>
  <c r="BE132" i="25"/>
  <c r="BQ132" i="25"/>
  <c r="BW132" i="25" s="1"/>
  <c r="BE193" i="25"/>
  <c r="BQ193" i="25"/>
  <c r="BW193" i="25" s="1"/>
  <c r="BE117" i="25"/>
  <c r="BQ117" i="25"/>
  <c r="BW117" i="25" s="1"/>
  <c r="BE153" i="25"/>
  <c r="BQ153" i="25"/>
  <c r="BW153" i="25" s="1"/>
  <c r="BE133" i="25"/>
  <c r="BQ133" i="25"/>
  <c r="BW133" i="25" s="1"/>
  <c r="BE126" i="25"/>
  <c r="BQ126" i="25"/>
  <c r="BW126" i="25" s="1"/>
  <c r="BE161" i="25"/>
  <c r="BQ161" i="25"/>
  <c r="BW161" i="25" s="1"/>
  <c r="BE192" i="25"/>
  <c r="BQ192" i="25"/>
  <c r="BW192" i="25" s="1"/>
  <c r="BE183" i="25"/>
  <c r="BQ183" i="25"/>
  <c r="BW183" i="25" s="1"/>
  <c r="BE207" i="25"/>
  <c r="BQ207" i="25"/>
  <c r="BW207" i="25" s="1"/>
  <c r="BE173" i="25"/>
  <c r="BQ173" i="25"/>
  <c r="BW173" i="25" s="1"/>
  <c r="BE130" i="25"/>
  <c r="BQ130" i="25"/>
  <c r="BW130" i="25" s="1"/>
  <c r="BQ134" i="25"/>
  <c r="BW134" i="25" s="1"/>
  <c r="BE134" i="25"/>
  <c r="BE208" i="25"/>
  <c r="BQ208" i="25"/>
  <c r="BW208" i="25" s="1"/>
  <c r="BE151" i="25"/>
  <c r="BQ151" i="25"/>
  <c r="BW151" i="25" s="1"/>
  <c r="BQ128" i="25"/>
  <c r="BW128" i="25" s="1"/>
  <c r="BE128" i="25"/>
  <c r="BQ182" i="25"/>
  <c r="BW182" i="25" s="1"/>
  <c r="BE182" i="25"/>
  <c r="BE129" i="25"/>
  <c r="BQ129" i="25"/>
  <c r="BW129" i="25" s="1"/>
  <c r="BE200" i="25"/>
  <c r="BQ200" i="25"/>
  <c r="BW200" i="25" s="1"/>
  <c r="BE179" i="25"/>
  <c r="BQ179" i="25"/>
  <c r="BW179" i="25" s="1"/>
  <c r="BC110" i="25"/>
  <c r="BS110" i="25" s="1"/>
  <c r="BA110" i="25"/>
  <c r="BB110" i="25"/>
  <c r="BR110" i="25" s="1"/>
  <c r="BE148" i="25"/>
  <c r="BQ148" i="25"/>
  <c r="BW148" i="25" s="1"/>
  <c r="BE121" i="25"/>
  <c r="BQ121" i="25"/>
  <c r="BW121" i="25" s="1"/>
  <c r="BE115" i="25"/>
  <c r="BQ115" i="25"/>
  <c r="BW115" i="25" s="1"/>
  <c r="BE178" i="25"/>
  <c r="BQ178" i="25"/>
  <c r="BW178" i="25" s="1"/>
  <c r="BW144" i="25"/>
  <c r="BQ131" i="25"/>
  <c r="BW131" i="25" s="1"/>
  <c r="BE131" i="25"/>
  <c r="BE146" i="25"/>
  <c r="BQ146" i="25"/>
  <c r="BW146" i="25" s="1"/>
  <c r="BE118" i="25"/>
  <c r="BQ118" i="25"/>
  <c r="BW118" i="25" s="1"/>
  <c r="BE139" i="25"/>
  <c r="BQ139" i="25"/>
  <c r="BW139" i="25" s="1"/>
  <c r="BQ120" i="25"/>
  <c r="BW120" i="25" s="1"/>
  <c r="BE120" i="25"/>
  <c r="BE209" i="25"/>
  <c r="BQ209" i="25"/>
  <c r="BW209" i="25" s="1"/>
  <c r="BE150" i="25"/>
  <c r="BQ150" i="25"/>
  <c r="BW150" i="25" s="1"/>
  <c r="BE113" i="25"/>
  <c r="BQ113" i="25"/>
  <c r="BW113" i="25" s="1"/>
  <c r="BE177" i="25"/>
  <c r="BQ177" i="25"/>
  <c r="BW177" i="25" s="1"/>
  <c r="BE169" i="25"/>
  <c r="BQ169" i="25"/>
  <c r="BW169" i="25" s="1"/>
  <c r="BQ203" i="25"/>
  <c r="BW203" i="25" s="1"/>
  <c r="BE203" i="25"/>
  <c r="BE167" i="25"/>
  <c r="BQ167" i="25"/>
  <c r="BW167" i="25" s="1"/>
  <c r="BE135" i="25"/>
  <c r="BQ135" i="25"/>
  <c r="BW135" i="25" s="1"/>
  <c r="BE187" i="25"/>
  <c r="BQ187" i="25"/>
  <c r="BW187" i="25" s="1"/>
  <c r="BE172" i="25"/>
  <c r="BQ172" i="25"/>
  <c r="BW172" i="25" s="1"/>
  <c r="BQ176" i="25"/>
  <c r="BW176" i="25" s="1"/>
  <c r="BE176" i="25"/>
  <c r="BQ140" i="25"/>
  <c r="BW140" i="25" s="1"/>
  <c r="BE140" i="25"/>
  <c r="BQ124" i="25"/>
  <c r="BW124" i="25" s="1"/>
  <c r="BE124" i="25"/>
  <c r="BQ147" i="25"/>
  <c r="BW147" i="25" s="1"/>
  <c r="BE147" i="25"/>
  <c r="BE194" i="25"/>
  <c r="BQ194" i="25"/>
  <c r="BW194" i="25" s="1"/>
  <c r="BE160" i="25"/>
  <c r="BK160" i="25" s="1"/>
  <c r="BQ160" i="25"/>
  <c r="BW160" i="25" s="1"/>
  <c r="BE155" i="25"/>
  <c r="BQ155" i="25"/>
  <c r="BW155" i="25" s="1"/>
  <c r="BQ157" i="25"/>
  <c r="BW157" i="25" s="1"/>
  <c r="BE157" i="25"/>
  <c r="BQ154" i="25"/>
  <c r="BW154" i="25" s="1"/>
  <c r="BE154" i="25"/>
  <c r="BE190" i="25"/>
  <c r="BQ190" i="25"/>
  <c r="BW190" i="25" s="1"/>
  <c r="BE188" i="25"/>
  <c r="BQ188" i="25"/>
  <c r="BW188" i="25" s="1"/>
  <c r="BE195" i="25"/>
  <c r="BQ195" i="25"/>
  <c r="BW195" i="25" s="1"/>
  <c r="BQ174" i="25"/>
  <c r="BW174" i="25" s="1"/>
  <c r="BE174" i="25"/>
  <c r="BQ204" i="25"/>
  <c r="BW204" i="25" s="1"/>
  <c r="BE204" i="25"/>
  <c r="BE171" i="25"/>
  <c r="BQ171" i="25"/>
  <c r="BW171" i="25" s="1"/>
  <c r="BQ180" i="25"/>
  <c r="BW180" i="25" s="1"/>
  <c r="BE180" i="25"/>
  <c r="BE201" i="25"/>
  <c r="BQ201" i="25"/>
  <c r="BW201" i="25" s="1"/>
  <c r="BE145" i="25"/>
  <c r="BQ145" i="25"/>
  <c r="BW145" i="25" s="1"/>
  <c r="BE142" i="25"/>
  <c r="BQ142" i="25"/>
  <c r="BW142" i="25" s="1"/>
  <c r="BQ141" i="25"/>
  <c r="BW141" i="25" s="1"/>
  <c r="BE141" i="25"/>
  <c r="BE184" i="25"/>
  <c r="BQ184" i="25"/>
  <c r="BW184" i="25" s="1"/>
  <c r="BE185" i="25"/>
  <c r="BQ185" i="25"/>
  <c r="BW185" i="25" s="1"/>
  <c r="BE166" i="25"/>
  <c r="BQ166" i="25"/>
  <c r="BW166" i="25" s="1"/>
  <c r="AY115" i="24"/>
  <c r="AZ115" i="24" s="1"/>
  <c r="AY167" i="24"/>
  <c r="AZ167" i="24" s="1"/>
  <c r="BD115" i="24"/>
  <c r="BR115" i="24" s="1"/>
  <c r="BW115" i="24" s="1"/>
  <c r="AY165" i="24"/>
  <c r="AZ165" i="24" s="1"/>
  <c r="BD165" i="24"/>
  <c r="BG165" i="24" s="1"/>
  <c r="BE194" i="24"/>
  <c r="BS194" i="24" s="1"/>
  <c r="AY194" i="24"/>
  <c r="AZ194" i="24" s="1"/>
  <c r="BD194" i="24"/>
  <c r="BD141" i="24"/>
  <c r="BE141" i="24"/>
  <c r="BS141" i="24" s="1"/>
  <c r="AY141" i="24"/>
  <c r="AZ141" i="24" s="1"/>
  <c r="BD199" i="24"/>
  <c r="AY199" i="24"/>
  <c r="AZ199" i="24" s="1"/>
  <c r="BE199" i="24"/>
  <c r="BS199" i="24" s="1"/>
  <c r="BE112" i="24"/>
  <c r="BS112" i="24" s="1"/>
  <c r="AY112" i="24"/>
  <c r="AZ112" i="24" s="1"/>
  <c r="BD112" i="24"/>
  <c r="BD203" i="24"/>
  <c r="AY203" i="24"/>
  <c r="AZ203" i="24" s="1"/>
  <c r="BE203" i="24"/>
  <c r="BS203" i="24" s="1"/>
  <c r="AY193" i="24"/>
  <c r="AZ193" i="24" s="1"/>
  <c r="BE193" i="24"/>
  <c r="BS193" i="24" s="1"/>
  <c r="BD193" i="24"/>
  <c r="BR144" i="24"/>
  <c r="BW144" i="24" s="1"/>
  <c r="BG144" i="24"/>
  <c r="BR127" i="24"/>
  <c r="BW127" i="24" s="1"/>
  <c r="BG127" i="24"/>
  <c r="BR152" i="24"/>
  <c r="BW152" i="24" s="1"/>
  <c r="BG152" i="24"/>
  <c r="BR147" i="24"/>
  <c r="BW147" i="24" s="1"/>
  <c r="BG147" i="24"/>
  <c r="BR187" i="24"/>
  <c r="BW187" i="24" s="1"/>
  <c r="BG187" i="24"/>
  <c r="BR128" i="24"/>
  <c r="BW128" i="24" s="1"/>
  <c r="BG128" i="24"/>
  <c r="BR163" i="24"/>
  <c r="BW163" i="24" s="1"/>
  <c r="BG163" i="24"/>
  <c r="BR131" i="24"/>
  <c r="BW131" i="24" s="1"/>
  <c r="BG131" i="24"/>
  <c r="BR151" i="24"/>
  <c r="BW151" i="24" s="1"/>
  <c r="BG151" i="24"/>
  <c r="BR158" i="24"/>
  <c r="BW158" i="24" s="1"/>
  <c r="BG158" i="24"/>
  <c r="BG200" i="24"/>
  <c r="BR200" i="24"/>
  <c r="BW200" i="24" s="1"/>
  <c r="BR116" i="24"/>
  <c r="BW116" i="24" s="1"/>
  <c r="BG116" i="24"/>
  <c r="BD172" i="24"/>
  <c r="AY172" i="24"/>
  <c r="AZ172" i="24" s="1"/>
  <c r="BE172" i="24"/>
  <c r="BS172" i="24" s="1"/>
  <c r="BE149" i="24"/>
  <c r="BS149" i="24" s="1"/>
  <c r="BD149" i="24"/>
  <c r="AY149" i="24"/>
  <c r="AZ149" i="24" s="1"/>
  <c r="BE119" i="24"/>
  <c r="BS119" i="24" s="1"/>
  <c r="BD119" i="24"/>
  <c r="AY119" i="24"/>
  <c r="AZ119" i="24" s="1"/>
  <c r="AY123" i="24"/>
  <c r="AZ123" i="24" s="1"/>
  <c r="BD123" i="24"/>
  <c r="BE123" i="24"/>
  <c r="BS123" i="24" s="1"/>
  <c r="BE136" i="24"/>
  <c r="BS136" i="24" s="1"/>
  <c r="BD136" i="24"/>
  <c r="AY136" i="24"/>
  <c r="AZ136" i="24" s="1"/>
  <c r="BE156" i="24"/>
  <c r="BS156" i="24" s="1"/>
  <c r="BD156" i="24"/>
  <c r="AY156" i="24"/>
  <c r="AZ156" i="24" s="1"/>
  <c r="BD188" i="24"/>
  <c r="AY188" i="24"/>
  <c r="AZ188" i="24" s="1"/>
  <c r="BE188" i="24"/>
  <c r="BS188" i="24" s="1"/>
  <c r="AY206" i="24"/>
  <c r="AZ206" i="24" s="1"/>
  <c r="BD206" i="24"/>
  <c r="BE206" i="24"/>
  <c r="BS206" i="24" s="1"/>
  <c r="AY181" i="24"/>
  <c r="AZ181" i="24" s="1"/>
  <c r="BD181" i="24"/>
  <c r="BE181" i="24"/>
  <c r="BS181" i="24" s="1"/>
  <c r="BE159" i="24"/>
  <c r="BS159" i="24" s="1"/>
  <c r="AY159" i="24"/>
  <c r="AZ159" i="24" s="1"/>
  <c r="BD159" i="24"/>
  <c r="BE191" i="24"/>
  <c r="BS191" i="24" s="1"/>
  <c r="BD191" i="24"/>
  <c r="AY191" i="24"/>
  <c r="AZ191" i="24" s="1"/>
  <c r="BG170" i="24"/>
  <c r="BR170" i="24"/>
  <c r="BW170" i="24" s="1"/>
  <c r="BG157" i="24"/>
  <c r="BR157" i="24"/>
  <c r="BW157" i="24" s="1"/>
  <c r="BR126" i="24"/>
  <c r="BW126" i="24" s="1"/>
  <c r="BG126" i="24"/>
  <c r="BG186" i="24"/>
  <c r="BM186" i="24" s="1"/>
  <c r="BR186" i="24"/>
  <c r="BR129" i="24"/>
  <c r="BW129" i="24" s="1"/>
  <c r="BG129" i="24"/>
  <c r="BR138" i="24"/>
  <c r="BW138" i="24" s="1"/>
  <c r="BG138" i="24"/>
  <c r="BR164" i="24"/>
  <c r="BW164" i="24" s="1"/>
  <c r="BG164" i="24"/>
  <c r="BR184" i="24"/>
  <c r="BW184" i="24" s="1"/>
  <c r="BG184" i="24"/>
  <c r="BR135" i="24"/>
  <c r="BW135" i="24" s="1"/>
  <c r="BG135" i="24"/>
  <c r="BR205" i="24"/>
  <c r="BW205" i="24" s="1"/>
  <c r="BG205" i="24"/>
  <c r="BG185" i="24"/>
  <c r="BM185" i="24" s="1"/>
  <c r="BR185" i="24"/>
  <c r="BR133" i="24"/>
  <c r="BW133" i="24" s="1"/>
  <c r="BG133" i="24"/>
  <c r="BD134" i="24"/>
  <c r="BE134" i="24"/>
  <c r="BS134" i="24" s="1"/>
  <c r="AY134" i="24"/>
  <c r="AZ134" i="24" s="1"/>
  <c r="AY169" i="24"/>
  <c r="AZ169" i="24" s="1"/>
  <c r="BE169" i="24"/>
  <c r="BS169" i="24" s="1"/>
  <c r="BD169" i="24"/>
  <c r="AY210" i="24"/>
  <c r="AZ210" i="24" s="1"/>
  <c r="BD210" i="24"/>
  <c r="BE210" i="24"/>
  <c r="BS210" i="24" s="1"/>
  <c r="AY208" i="24"/>
  <c r="AZ208" i="24" s="1"/>
  <c r="BE208" i="24"/>
  <c r="BS208" i="24" s="1"/>
  <c r="BD208" i="24"/>
  <c r="AY195" i="24"/>
  <c r="AZ195" i="24" s="1"/>
  <c r="BD195" i="24"/>
  <c r="BE195" i="24"/>
  <c r="BS195" i="24" s="1"/>
  <c r="BE209" i="24"/>
  <c r="BS209" i="24" s="1"/>
  <c r="BD209" i="24"/>
  <c r="AY209" i="24"/>
  <c r="AZ209" i="24" s="1"/>
  <c r="BD176" i="24"/>
  <c r="AY176" i="24"/>
  <c r="AZ176" i="24" s="1"/>
  <c r="BE176" i="24"/>
  <c r="BS176" i="24" s="1"/>
  <c r="BD182" i="24"/>
  <c r="AY182" i="24"/>
  <c r="AZ182" i="24" s="1"/>
  <c r="BE182" i="24"/>
  <c r="BS182" i="24" s="1"/>
  <c r="BR150" i="24"/>
  <c r="BW150" i="24" s="1"/>
  <c r="BG150" i="24"/>
  <c r="BG196" i="24"/>
  <c r="BR196" i="24"/>
  <c r="BW196" i="24" s="1"/>
  <c r="BR140" i="24"/>
  <c r="BW140" i="24" s="1"/>
  <c r="BG140" i="24"/>
  <c r="BG201" i="24"/>
  <c r="BR201" i="24"/>
  <c r="BW201" i="24" s="1"/>
  <c r="BR113" i="24"/>
  <c r="BW113" i="24" s="1"/>
  <c r="BG113" i="24"/>
  <c r="BR173" i="24"/>
  <c r="BW173" i="24" s="1"/>
  <c r="BG173" i="24"/>
  <c r="BR197" i="24"/>
  <c r="BW197" i="24" s="1"/>
  <c r="BG197" i="24"/>
  <c r="BR121" i="24"/>
  <c r="BW121" i="24" s="1"/>
  <c r="BG121" i="24"/>
  <c r="BR171" i="24"/>
  <c r="BW171" i="24" s="1"/>
  <c r="BG171" i="24"/>
  <c r="BG178" i="24"/>
  <c r="BR178" i="24"/>
  <c r="BW178" i="24" s="1"/>
  <c r="BR177" i="24"/>
  <c r="BW177" i="24" s="1"/>
  <c r="BG177" i="24"/>
  <c r="BR153" i="24"/>
  <c r="BW153" i="24" s="1"/>
  <c r="BG153" i="24"/>
  <c r="BR166" i="24"/>
  <c r="BG166" i="24"/>
  <c r="BR148" i="24"/>
  <c r="BW148" i="24" s="1"/>
  <c r="BG148" i="24"/>
  <c r="BR179" i="24"/>
  <c r="BW179" i="24" s="1"/>
  <c r="BG179" i="24"/>
  <c r="BR162" i="24"/>
  <c r="BW162" i="24" s="1"/>
  <c r="BG162" i="24"/>
  <c r="BR132" i="24"/>
  <c r="BW132" i="24" s="1"/>
  <c r="BG132" i="24"/>
  <c r="BR204" i="24"/>
  <c r="BW204" i="24" s="1"/>
  <c r="BG204" i="24"/>
  <c r="BR124" i="24"/>
  <c r="BW124" i="24" s="1"/>
  <c r="BG124" i="24"/>
  <c r="BR183" i="24"/>
  <c r="BW183" i="24" s="1"/>
  <c r="BG183" i="24"/>
  <c r="BR175" i="24"/>
  <c r="BW175" i="24" s="1"/>
  <c r="BG175" i="24"/>
  <c r="BR154" i="24"/>
  <c r="BW154" i="24" s="1"/>
  <c r="BG154" i="24"/>
  <c r="BR145" i="24"/>
  <c r="BW145" i="24" s="1"/>
  <c r="BG145" i="24"/>
  <c r="BR120" i="24"/>
  <c r="BW120" i="24" s="1"/>
  <c r="BG120" i="24"/>
  <c r="AY161" i="24"/>
  <c r="AZ161" i="24" s="1"/>
  <c r="BE161" i="24"/>
  <c r="BS161" i="24" s="1"/>
  <c r="BD161" i="24"/>
  <c r="BD168" i="24"/>
  <c r="AY168" i="24"/>
  <c r="AZ168" i="24" s="1"/>
  <c r="BE168" i="24"/>
  <c r="BS168" i="24" s="1"/>
  <c r="BE130" i="24"/>
  <c r="BS130" i="24" s="1"/>
  <c r="BD130" i="24"/>
  <c r="AY130" i="24"/>
  <c r="AZ130" i="24" s="1"/>
  <c r="BD189" i="24"/>
  <c r="BE189" i="24"/>
  <c r="BS189" i="24" s="1"/>
  <c r="AY189" i="24"/>
  <c r="AZ189" i="24" s="1"/>
  <c r="BR146" i="24"/>
  <c r="BW146" i="24" s="1"/>
  <c r="BG146" i="24"/>
  <c r="BR142" i="24"/>
  <c r="BW142" i="24" s="1"/>
  <c r="BG142" i="24"/>
  <c r="AY155" i="24"/>
  <c r="AZ155" i="24" s="1"/>
  <c r="BD155" i="24"/>
  <c r="BE155" i="24"/>
  <c r="BS155" i="24" s="1"/>
  <c r="BD192" i="24"/>
  <c r="AY192" i="24"/>
  <c r="AZ192" i="24" s="1"/>
  <c r="BE192" i="24"/>
  <c r="BS192" i="24" s="1"/>
  <c r="AY110" i="24"/>
  <c r="AZ110" i="24" s="1"/>
  <c r="BD110" i="24"/>
  <c r="BE110" i="24"/>
  <c r="BS110" i="24" s="1"/>
  <c r="BD114" i="24"/>
  <c r="BE114" i="24"/>
  <c r="BS114" i="24" s="1"/>
  <c r="AY114" i="24"/>
  <c r="AZ114" i="24" s="1"/>
  <c r="BR198" i="24"/>
  <c r="BW198" i="24" s="1"/>
  <c r="BG198" i="24"/>
  <c r="BG174" i="24"/>
  <c r="BR174" i="24"/>
  <c r="BW174" i="24" s="1"/>
  <c r="BR202" i="24"/>
  <c r="BW202" i="24" s="1"/>
  <c r="BG202" i="24"/>
  <c r="BR125" i="24"/>
  <c r="BW125" i="24" s="1"/>
  <c r="BG125" i="24"/>
  <c r="BR137" i="24"/>
  <c r="BW137" i="24" s="1"/>
  <c r="BG137" i="24"/>
  <c r="BR190" i="24"/>
  <c r="BG190" i="24"/>
  <c r="BM190" i="24" s="1"/>
  <c r="BR180" i="24"/>
  <c r="BW180" i="24" s="1"/>
  <c r="BG180" i="24"/>
  <c r="BR160" i="24"/>
  <c r="BW160" i="24" s="1"/>
  <c r="BG160" i="24"/>
  <c r="BR143" i="24"/>
  <c r="BW143" i="24" s="1"/>
  <c r="BG143" i="24"/>
  <c r="BR111" i="24"/>
  <c r="BW111" i="24" s="1"/>
  <c r="BG111" i="24"/>
  <c r="BR117" i="24"/>
  <c r="BW117" i="24" s="1"/>
  <c r="BG117" i="24"/>
  <c r="BR207" i="24"/>
  <c r="BW207" i="24" s="1"/>
  <c r="BG207" i="24"/>
  <c r="BR118" i="24"/>
  <c r="BW118" i="24" s="1"/>
  <c r="BG118" i="24"/>
  <c r="BR139" i="24"/>
  <c r="BW139" i="24" s="1"/>
  <c r="BG139" i="24"/>
  <c r="BR122" i="24"/>
  <c r="BW122" i="24" s="1"/>
  <c r="BG122" i="24"/>
  <c r="BE58" i="25"/>
  <c r="BJ58" i="25" s="1"/>
  <c r="AZ88" i="24"/>
  <c r="AZ49" i="24"/>
  <c r="BD73" i="24"/>
  <c r="BR73" i="24" s="1"/>
  <c r="BE73" i="24"/>
  <c r="BS73" i="24" s="1"/>
  <c r="BE33" i="24"/>
  <c r="BS33" i="24" s="1"/>
  <c r="BD33" i="24"/>
  <c r="BG33" i="24" s="1"/>
  <c r="BL33" i="24" s="1"/>
  <c r="BM33" i="24" s="1"/>
  <c r="BD86" i="24"/>
  <c r="BG86" i="24" s="1"/>
  <c r="BL86" i="24" s="1"/>
  <c r="BM86" i="24" s="1"/>
  <c r="BE43" i="24"/>
  <c r="BS43" i="24" s="1"/>
  <c r="BR104" i="24"/>
  <c r="BE51" i="24"/>
  <c r="BS51" i="24" s="1"/>
  <c r="BD51" i="24"/>
  <c r="BR51" i="24" s="1"/>
  <c r="BE27" i="24"/>
  <c r="BS27" i="24" s="1"/>
  <c r="BD43" i="24"/>
  <c r="BR43" i="24" s="1"/>
  <c r="BD97" i="24"/>
  <c r="BG97" i="24" s="1"/>
  <c r="BL97" i="24" s="1"/>
  <c r="BM97" i="24" s="1"/>
  <c r="BB105" i="24"/>
  <c r="B118" i="2" s="1"/>
  <c r="B119" i="2" s="1"/>
  <c r="E16" i="1" s="1"/>
  <c r="BE86" i="24"/>
  <c r="BS86" i="24" s="1"/>
  <c r="BE23" i="24"/>
  <c r="BS23" i="24" s="1"/>
  <c r="BD23" i="24"/>
  <c r="BG23" i="24" s="1"/>
  <c r="BL23" i="24" s="1"/>
  <c r="BM23" i="24" s="1"/>
  <c r="BD64" i="24"/>
  <c r="BG64" i="24" s="1"/>
  <c r="BL64" i="24" s="1"/>
  <c r="BM64" i="24" s="1"/>
  <c r="BE97" i="24"/>
  <c r="BS97" i="24" s="1"/>
  <c r="BE64" i="24"/>
  <c r="BS64" i="24" s="1"/>
  <c r="BE49" i="24"/>
  <c r="BS49" i="24" s="1"/>
  <c r="BD27" i="24"/>
  <c r="BG27" i="24" s="1"/>
  <c r="BL27" i="24" s="1"/>
  <c r="BM27" i="24" s="1"/>
  <c r="AU49" i="24"/>
  <c r="BB49" i="24" s="1"/>
  <c r="BD49" i="24"/>
  <c r="BG49" i="24" s="1"/>
  <c r="BL49" i="24" s="1"/>
  <c r="BM49" i="24" s="1"/>
  <c r="BG69" i="24"/>
  <c r="BL69" i="24" s="1"/>
  <c r="BM69" i="24" s="1"/>
  <c r="BD81" i="24"/>
  <c r="BR81" i="24" s="1"/>
  <c r="BE88" i="24"/>
  <c r="BS88" i="24" s="1"/>
  <c r="AU88" i="24"/>
  <c r="BB88" i="24" s="1"/>
  <c r="BD65" i="24"/>
  <c r="BG65" i="24" s="1"/>
  <c r="BL65" i="24" s="1"/>
  <c r="BM65" i="24" s="1"/>
  <c r="BE65" i="24"/>
  <c r="BS65" i="24" s="1"/>
  <c r="BD88" i="24"/>
  <c r="BG88" i="24" s="1"/>
  <c r="BL88" i="24" s="1"/>
  <c r="BM88" i="24" s="1"/>
  <c r="BE22" i="24"/>
  <c r="BS22" i="24" s="1"/>
  <c r="BD35" i="24"/>
  <c r="BR35" i="24" s="1"/>
  <c r="BE81" i="24"/>
  <c r="BS81" i="24" s="1"/>
  <c r="BE35" i="24"/>
  <c r="BS35" i="24" s="1"/>
  <c r="BR34" i="24"/>
  <c r="AW71" i="24"/>
  <c r="AU71" i="24"/>
  <c r="BB71" i="24" s="1"/>
  <c r="AU13" i="24"/>
  <c r="BB13" i="24" s="1"/>
  <c r="AW13" i="24"/>
  <c r="BD22" i="24"/>
  <c r="BG22" i="24" s="1"/>
  <c r="BL22" i="24" s="1"/>
  <c r="BM22" i="24" s="1"/>
  <c r="AU15" i="24"/>
  <c r="BB15" i="24" s="1"/>
  <c r="AW15" i="24"/>
  <c r="AW102" i="24"/>
  <c r="AU102" i="24"/>
  <c r="BB102" i="24" s="1"/>
  <c r="AU48" i="24"/>
  <c r="BB48" i="24" s="1"/>
  <c r="AW48" i="24"/>
  <c r="AU93" i="24"/>
  <c r="BB93" i="24" s="1"/>
  <c r="AW93" i="24"/>
  <c r="AU94" i="24"/>
  <c r="BB94" i="24" s="1"/>
  <c r="AW94" i="24"/>
  <c r="AW37" i="24"/>
  <c r="AU37" i="24"/>
  <c r="BB37" i="24" s="1"/>
  <c r="AW8" i="24"/>
  <c r="AU8" i="24"/>
  <c r="BB8" i="24" s="1"/>
  <c r="AU44" i="24"/>
  <c r="BB44" i="24" s="1"/>
  <c r="AW44" i="24"/>
  <c r="AU77" i="24"/>
  <c r="BB77" i="24" s="1"/>
  <c r="AW77" i="24"/>
  <c r="AW80" i="24"/>
  <c r="AU80" i="24"/>
  <c r="BB80" i="24" s="1"/>
  <c r="AU38" i="24"/>
  <c r="BB38" i="24" s="1"/>
  <c r="AW38" i="24"/>
  <c r="AU24" i="24"/>
  <c r="BB24" i="24" s="1"/>
  <c r="AW24" i="24"/>
  <c r="AU45" i="24"/>
  <c r="BB45" i="24" s="1"/>
  <c r="AW45" i="24"/>
  <c r="AU103" i="24"/>
  <c r="BB103" i="24" s="1"/>
  <c r="AW103" i="24"/>
  <c r="AW47" i="24"/>
  <c r="AU47" i="24"/>
  <c r="BB47" i="24" s="1"/>
  <c r="AW66" i="24"/>
  <c r="AU66" i="24"/>
  <c r="BB66" i="24" s="1"/>
  <c r="AW62" i="24"/>
  <c r="AU62" i="24"/>
  <c r="BB62" i="24" s="1"/>
  <c r="AW30" i="24"/>
  <c r="AU30" i="24"/>
  <c r="BB30" i="24" s="1"/>
  <c r="AU99" i="24"/>
  <c r="BB99" i="24" s="1"/>
  <c r="AW99" i="24"/>
  <c r="AU75" i="24"/>
  <c r="BB75" i="24" s="1"/>
  <c r="AW75" i="24"/>
  <c r="AW61" i="24"/>
  <c r="AU61" i="24"/>
  <c r="BB61" i="24" s="1"/>
  <c r="AW20" i="24"/>
  <c r="AU20" i="24"/>
  <c r="BB20" i="24" s="1"/>
  <c r="AU90" i="24"/>
  <c r="BB90" i="24" s="1"/>
  <c r="AW90" i="24"/>
  <c r="AU52" i="24"/>
  <c r="BB52" i="24" s="1"/>
  <c r="AW52" i="24"/>
  <c r="AW39" i="24"/>
  <c r="AU39" i="24"/>
  <c r="BB39" i="24" s="1"/>
  <c r="AW26" i="24"/>
  <c r="AU26" i="24"/>
  <c r="BB26" i="24" s="1"/>
  <c r="AU9" i="24"/>
  <c r="BB9" i="24" s="1"/>
  <c r="AW9" i="24"/>
  <c r="AU84" i="24"/>
  <c r="BB84" i="24" s="1"/>
  <c r="AW84" i="24"/>
  <c r="AW58" i="24"/>
  <c r="AU58" i="24"/>
  <c r="BB58" i="24" s="1"/>
  <c r="AU57" i="24"/>
  <c r="BB57" i="24" s="1"/>
  <c r="AW57" i="24"/>
  <c r="AU17" i="24"/>
  <c r="BB17" i="24" s="1"/>
  <c r="AW17" i="24"/>
  <c r="AU76" i="24"/>
  <c r="BB76" i="24" s="1"/>
  <c r="AW76" i="24"/>
  <c r="AU11" i="24"/>
  <c r="BB11" i="24" s="1"/>
  <c r="AW11" i="24"/>
  <c r="AU67" i="24"/>
  <c r="BB67" i="24" s="1"/>
  <c r="AW67" i="24"/>
  <c r="AU12" i="24"/>
  <c r="BB12" i="24" s="1"/>
  <c r="AW12" i="24"/>
  <c r="AU98" i="24"/>
  <c r="BB98" i="24" s="1"/>
  <c r="AW98" i="24"/>
  <c r="AU16" i="24"/>
  <c r="BB16" i="24" s="1"/>
  <c r="AW16" i="24"/>
  <c r="AU6" i="24"/>
  <c r="BB6" i="24" s="1"/>
  <c r="AW6" i="24"/>
  <c r="AW7" i="24"/>
  <c r="AU7" i="24"/>
  <c r="BB7" i="24" s="1"/>
  <c r="BA5" i="25"/>
  <c r="BC5" i="25"/>
  <c r="BS5" i="25" s="1"/>
  <c r="BB5" i="25"/>
  <c r="BR40" i="24"/>
  <c r="BQ95" i="25"/>
  <c r="BQ85" i="25"/>
  <c r="BQ18" i="25"/>
  <c r="BE90" i="25"/>
  <c r="BJ90" i="25" s="1"/>
  <c r="BE98" i="25"/>
  <c r="BJ98" i="25" s="1"/>
  <c r="BE55" i="25"/>
  <c r="BJ55" i="25" s="1"/>
  <c r="BE33" i="25"/>
  <c r="BJ33" i="25" s="1"/>
  <c r="BE65" i="25"/>
  <c r="BJ65" i="25" s="1"/>
  <c r="BE60" i="25"/>
  <c r="BJ60" i="25" s="1"/>
  <c r="BR52" i="25"/>
  <c r="BR74" i="25"/>
  <c r="BR27" i="25"/>
  <c r="BR42" i="25"/>
  <c r="BR102" i="25"/>
  <c r="BR77" i="25"/>
  <c r="BR26" i="25"/>
  <c r="BR105" i="25"/>
  <c r="BR39" i="25"/>
  <c r="BR60" i="25"/>
  <c r="BU60" i="25" s="1"/>
  <c r="BR98" i="25"/>
  <c r="BU98" i="25" s="1"/>
  <c r="BR92" i="25"/>
  <c r="BR94" i="25"/>
  <c r="BR91" i="25"/>
  <c r="BR67" i="25"/>
  <c r="BR64" i="25"/>
  <c r="BR41" i="25"/>
  <c r="BR79" i="25"/>
  <c r="BR76" i="25"/>
  <c r="BR11" i="25"/>
  <c r="BR104" i="25"/>
  <c r="BR96" i="25"/>
  <c r="BR24" i="25"/>
  <c r="BR51" i="25"/>
  <c r="BR47" i="25"/>
  <c r="BR46" i="25"/>
  <c r="BR8" i="25"/>
  <c r="BR50" i="25"/>
  <c r="BR49" i="25"/>
  <c r="BR56" i="25"/>
  <c r="BR34" i="25"/>
  <c r="BR70" i="25"/>
  <c r="BR18" i="25"/>
  <c r="BR65" i="25"/>
  <c r="BU65" i="25" s="1"/>
  <c r="BR57" i="25"/>
  <c r="BR66" i="25"/>
  <c r="BR43" i="25"/>
  <c r="BU43" i="25" s="1"/>
  <c r="BR84" i="25"/>
  <c r="BR13" i="25"/>
  <c r="BR35" i="25"/>
  <c r="BR36" i="25"/>
  <c r="BR25" i="25"/>
  <c r="BR63" i="25"/>
  <c r="BR28" i="25"/>
  <c r="BR40" i="25"/>
  <c r="BR37" i="25"/>
  <c r="BR33" i="25"/>
  <c r="BU33" i="25" s="1"/>
  <c r="BR10" i="25"/>
  <c r="BR20" i="25"/>
  <c r="BR97" i="25"/>
  <c r="BR45" i="25"/>
  <c r="BR82" i="25"/>
  <c r="BR61" i="25"/>
  <c r="BR69" i="25"/>
  <c r="BR75" i="25"/>
  <c r="BR80" i="25"/>
  <c r="BR83" i="25"/>
  <c r="BR93" i="25"/>
  <c r="BR78" i="25"/>
  <c r="BR100" i="25"/>
  <c r="BR103" i="25"/>
  <c r="BR88" i="25"/>
  <c r="BR71" i="25"/>
  <c r="BR48" i="25"/>
  <c r="BR86" i="25"/>
  <c r="BR81" i="25"/>
  <c r="BR90" i="25"/>
  <c r="BU90" i="25" s="1"/>
  <c r="BR95" i="25"/>
  <c r="BR23" i="25"/>
  <c r="BR14" i="25"/>
  <c r="BR68" i="25"/>
  <c r="BR9" i="25"/>
  <c r="BR62" i="25"/>
  <c r="BR87" i="25"/>
  <c r="BR30" i="25"/>
  <c r="BR53" i="25"/>
  <c r="BR17" i="25"/>
  <c r="BR19" i="25"/>
  <c r="BR44" i="25"/>
  <c r="BR12" i="25"/>
  <c r="BR72" i="25"/>
  <c r="BR15" i="25"/>
  <c r="BR16" i="25"/>
  <c r="BR59" i="25"/>
  <c r="BR38" i="25"/>
  <c r="BR31" i="25"/>
  <c r="BR22" i="25"/>
  <c r="BR101" i="25"/>
  <c r="BR29" i="25"/>
  <c r="BR54" i="25"/>
  <c r="BR89" i="25"/>
  <c r="BR21" i="25"/>
  <c r="BR55" i="25"/>
  <c r="BU55" i="25" s="1"/>
  <c r="BR32" i="25"/>
  <c r="BU32" i="25" s="1"/>
  <c r="BR99" i="25"/>
  <c r="BU99" i="25" s="1"/>
  <c r="BR73" i="25"/>
  <c r="BU73" i="25" s="1"/>
  <c r="BR85" i="25"/>
  <c r="BR7" i="25"/>
  <c r="BR6" i="25"/>
  <c r="BE43" i="25"/>
  <c r="BJ43" i="25" s="1"/>
  <c r="BQ57" i="25"/>
  <c r="BE73" i="25"/>
  <c r="BJ73" i="25" s="1"/>
  <c r="BQ66" i="25"/>
  <c r="BQ84" i="25"/>
  <c r="BE32" i="25"/>
  <c r="BJ32" i="25" s="1"/>
  <c r="BE99" i="25"/>
  <c r="BJ99" i="25" s="1"/>
  <c r="BQ45" i="25"/>
  <c r="BE45" i="25"/>
  <c r="BJ45" i="25" s="1"/>
  <c r="BQ23" i="25"/>
  <c r="BU23" i="25" s="1"/>
  <c r="BE23" i="25"/>
  <c r="BJ23" i="25" s="1"/>
  <c r="BQ36" i="25"/>
  <c r="BE36" i="25"/>
  <c r="BJ36" i="25" s="1"/>
  <c r="BE6" i="25"/>
  <c r="BJ6" i="25" s="1"/>
  <c r="BQ6" i="25"/>
  <c r="BQ21" i="25"/>
  <c r="BE21" i="25"/>
  <c r="BJ21" i="25" s="1"/>
  <c r="BQ92" i="25"/>
  <c r="BE92" i="25"/>
  <c r="BJ92" i="25" s="1"/>
  <c r="BQ94" i="25"/>
  <c r="BE94" i="25"/>
  <c r="BJ94" i="25" s="1"/>
  <c r="BQ91" i="25"/>
  <c r="BE91" i="25"/>
  <c r="BJ91" i="25" s="1"/>
  <c r="BQ67" i="25"/>
  <c r="BE67" i="25"/>
  <c r="BJ67" i="25" s="1"/>
  <c r="BQ19" i="25"/>
  <c r="BE19" i="25"/>
  <c r="BJ19" i="25" s="1"/>
  <c r="BQ64" i="25"/>
  <c r="BE64" i="25"/>
  <c r="BJ64" i="25" s="1"/>
  <c r="BQ15" i="25"/>
  <c r="BE15" i="25"/>
  <c r="BJ15" i="25" s="1"/>
  <c r="BQ59" i="25"/>
  <c r="BE59" i="25"/>
  <c r="BJ59" i="25" s="1"/>
  <c r="BQ38" i="25"/>
  <c r="BU38" i="25" s="1"/>
  <c r="BE38" i="25"/>
  <c r="BJ38" i="25" s="1"/>
  <c r="BQ104" i="25"/>
  <c r="BE104" i="25"/>
  <c r="BJ104" i="25" s="1"/>
  <c r="BQ96" i="25"/>
  <c r="BE96" i="25"/>
  <c r="BJ96" i="25" s="1"/>
  <c r="BQ24" i="25"/>
  <c r="BE24" i="25"/>
  <c r="BJ24" i="25" s="1"/>
  <c r="BQ46" i="25"/>
  <c r="BE46" i="25"/>
  <c r="BJ46" i="25" s="1"/>
  <c r="BQ8" i="25"/>
  <c r="BE8" i="25"/>
  <c r="BJ8" i="25" s="1"/>
  <c r="BQ54" i="25"/>
  <c r="BE54" i="25"/>
  <c r="BJ54" i="25" s="1"/>
  <c r="BQ89" i="25"/>
  <c r="BE89" i="25"/>
  <c r="BJ89" i="25" s="1"/>
  <c r="BQ86" i="25"/>
  <c r="BU86" i="25" s="1"/>
  <c r="BE86" i="25"/>
  <c r="BJ86" i="25" s="1"/>
  <c r="BQ81" i="25"/>
  <c r="BE81" i="25"/>
  <c r="BJ81" i="25" s="1"/>
  <c r="BQ52" i="25"/>
  <c r="BU52" i="25" s="1"/>
  <c r="BE52" i="25"/>
  <c r="BJ52" i="25" s="1"/>
  <c r="BQ13" i="25"/>
  <c r="BE13" i="25"/>
  <c r="BJ13" i="25" s="1"/>
  <c r="BQ20" i="25"/>
  <c r="BU20" i="25" s="1"/>
  <c r="BE20" i="25"/>
  <c r="BJ20" i="25" s="1"/>
  <c r="BQ97" i="25"/>
  <c r="BE97" i="25"/>
  <c r="BJ97" i="25" s="1"/>
  <c r="BQ74" i="25"/>
  <c r="BE74" i="25"/>
  <c r="BJ74" i="25" s="1"/>
  <c r="BQ35" i="25"/>
  <c r="BE35" i="25"/>
  <c r="BJ35" i="25" s="1"/>
  <c r="BQ61" i="25"/>
  <c r="BU61" i="25" s="1"/>
  <c r="BE61" i="25"/>
  <c r="BJ61" i="25" s="1"/>
  <c r="BQ69" i="25"/>
  <c r="BE69" i="25"/>
  <c r="BJ69" i="25" s="1"/>
  <c r="BQ75" i="25"/>
  <c r="BE75" i="25"/>
  <c r="BJ75" i="25" s="1"/>
  <c r="BQ80" i="25"/>
  <c r="BE80" i="25"/>
  <c r="BJ80" i="25" s="1"/>
  <c r="BQ83" i="25"/>
  <c r="BU83" i="25" s="1"/>
  <c r="BE83" i="25"/>
  <c r="BJ83" i="25" s="1"/>
  <c r="BQ25" i="25"/>
  <c r="BE25" i="25"/>
  <c r="BJ25" i="25" s="1"/>
  <c r="BQ68" i="25"/>
  <c r="BE68" i="25"/>
  <c r="BJ68" i="25" s="1"/>
  <c r="BQ77" i="25"/>
  <c r="BE77" i="25"/>
  <c r="BJ77" i="25" s="1"/>
  <c r="BQ63" i="25"/>
  <c r="BE63" i="25"/>
  <c r="BJ63" i="25" s="1"/>
  <c r="BE9" i="25"/>
  <c r="BJ9" i="25" s="1"/>
  <c r="BQ9" i="25"/>
  <c r="BQ28" i="25"/>
  <c r="BE28" i="25"/>
  <c r="BJ28" i="25" s="1"/>
  <c r="BQ26" i="25"/>
  <c r="BE26" i="25"/>
  <c r="BJ26" i="25" s="1"/>
  <c r="BQ62" i="25"/>
  <c r="BU62" i="25" s="1"/>
  <c r="BE62" i="25"/>
  <c r="BJ62" i="25" s="1"/>
  <c r="BQ105" i="25"/>
  <c r="BE105" i="25"/>
  <c r="BJ105" i="25" s="1"/>
  <c r="BQ71" i="25"/>
  <c r="BE71" i="25"/>
  <c r="BJ71" i="25" s="1"/>
  <c r="BQ48" i="25"/>
  <c r="BE48" i="25"/>
  <c r="BJ48" i="25" s="1"/>
  <c r="BQ56" i="25"/>
  <c r="BE56" i="25"/>
  <c r="BJ56" i="25" s="1"/>
  <c r="BQ34" i="25"/>
  <c r="BU34" i="25" s="1"/>
  <c r="BE34" i="25"/>
  <c r="BJ34" i="25" s="1"/>
  <c r="BQ70" i="25"/>
  <c r="BE70" i="25"/>
  <c r="BJ70" i="25" s="1"/>
  <c r="BQ10" i="25"/>
  <c r="BE10" i="25"/>
  <c r="BJ10" i="25" s="1"/>
  <c r="BQ82" i="25"/>
  <c r="BE82" i="25"/>
  <c r="BJ82" i="25" s="1"/>
  <c r="BQ27" i="25"/>
  <c r="BE27" i="25"/>
  <c r="BJ27" i="25" s="1"/>
  <c r="BQ42" i="25"/>
  <c r="BE42" i="25"/>
  <c r="BJ42" i="25" s="1"/>
  <c r="BQ14" i="25"/>
  <c r="BE14" i="25"/>
  <c r="BJ14" i="25" s="1"/>
  <c r="BQ102" i="25"/>
  <c r="BU102" i="25" s="1"/>
  <c r="BE102" i="25"/>
  <c r="BJ102" i="25" s="1"/>
  <c r="BQ93" i="25"/>
  <c r="BE93" i="25"/>
  <c r="BJ93" i="25" s="1"/>
  <c r="BQ78" i="25"/>
  <c r="BE78" i="25"/>
  <c r="BJ78" i="25" s="1"/>
  <c r="BQ100" i="25"/>
  <c r="BE100" i="25"/>
  <c r="BJ100" i="25" s="1"/>
  <c r="BQ103" i="25"/>
  <c r="BU103" i="25" s="1"/>
  <c r="BE103" i="25"/>
  <c r="BJ103" i="25" s="1"/>
  <c r="BQ88" i="25"/>
  <c r="BE88" i="25"/>
  <c r="BJ88" i="25" s="1"/>
  <c r="BQ40" i="25"/>
  <c r="BU40" i="25" s="1"/>
  <c r="BE40" i="25"/>
  <c r="BJ40" i="25" s="1"/>
  <c r="BQ39" i="25"/>
  <c r="BE39" i="25"/>
  <c r="BJ39" i="25" s="1"/>
  <c r="BQ37" i="25"/>
  <c r="BE37" i="25"/>
  <c r="BJ37" i="25" s="1"/>
  <c r="BQ17" i="25"/>
  <c r="BE17" i="25"/>
  <c r="BJ17" i="25" s="1"/>
  <c r="BQ16" i="25"/>
  <c r="BE16" i="25"/>
  <c r="BJ16" i="25" s="1"/>
  <c r="BQ51" i="25"/>
  <c r="BE51" i="25"/>
  <c r="BJ51" i="25" s="1"/>
  <c r="BQ47" i="25"/>
  <c r="BE47" i="25"/>
  <c r="BJ47" i="25" s="1"/>
  <c r="BE7" i="25"/>
  <c r="BJ7" i="25" s="1"/>
  <c r="BQ7" i="25"/>
  <c r="BQ30" i="25"/>
  <c r="BE30" i="25"/>
  <c r="BJ30" i="25" s="1"/>
  <c r="BQ53" i="25"/>
  <c r="BE53" i="25"/>
  <c r="BJ53" i="25" s="1"/>
  <c r="BQ44" i="25"/>
  <c r="BE44" i="25"/>
  <c r="BJ44" i="25" s="1"/>
  <c r="BQ12" i="25"/>
  <c r="BE12" i="25"/>
  <c r="BJ12" i="25" s="1"/>
  <c r="BQ72" i="25"/>
  <c r="BE72" i="25"/>
  <c r="BJ72" i="25" s="1"/>
  <c r="BQ41" i="25"/>
  <c r="BE41" i="25"/>
  <c r="BJ41" i="25" s="1"/>
  <c r="BQ79" i="25"/>
  <c r="BE79" i="25"/>
  <c r="BJ79" i="25" s="1"/>
  <c r="BQ76" i="25"/>
  <c r="BE76" i="25"/>
  <c r="BJ76" i="25" s="1"/>
  <c r="BQ11" i="25"/>
  <c r="BE11" i="25"/>
  <c r="BJ11" i="25" s="1"/>
  <c r="BQ31" i="25"/>
  <c r="BE31" i="25"/>
  <c r="BJ31" i="25" s="1"/>
  <c r="BQ22" i="25"/>
  <c r="BE22" i="25"/>
  <c r="BJ22" i="25" s="1"/>
  <c r="BQ101" i="25"/>
  <c r="BE101" i="25"/>
  <c r="BJ101" i="25" s="1"/>
  <c r="BQ29" i="25"/>
  <c r="BE29" i="25"/>
  <c r="BJ29" i="25" s="1"/>
  <c r="BQ50" i="25"/>
  <c r="BE50" i="25"/>
  <c r="BJ50" i="25" s="1"/>
  <c r="BQ49" i="25"/>
  <c r="BU49" i="25" s="1"/>
  <c r="BE49" i="25"/>
  <c r="BJ49" i="25" s="1"/>
  <c r="BQ87" i="25"/>
  <c r="BE87" i="25"/>
  <c r="BJ87" i="25" s="1"/>
  <c r="BR79" i="24"/>
  <c r="BG100" i="24"/>
  <c r="BL100" i="24" s="1"/>
  <c r="BM100" i="24" s="1"/>
  <c r="BR54" i="24"/>
  <c r="BR14" i="24"/>
  <c r="BR95" i="24"/>
  <c r="BG83" i="24"/>
  <c r="BL83" i="24" s="1"/>
  <c r="BM83" i="24" s="1"/>
  <c r="BG50" i="24"/>
  <c r="BL50" i="24" s="1"/>
  <c r="BM50" i="24" s="1"/>
  <c r="BG70" i="24"/>
  <c r="BL70" i="24" s="1"/>
  <c r="BM70" i="24" s="1"/>
  <c r="BG25" i="24"/>
  <c r="BL25" i="24" s="1"/>
  <c r="BM25" i="24" s="1"/>
  <c r="BG60" i="24"/>
  <c r="BL60" i="24" s="1"/>
  <c r="BM60" i="24" s="1"/>
  <c r="BG42" i="24"/>
  <c r="BL42" i="24" s="1"/>
  <c r="BM42" i="24" s="1"/>
  <c r="BG55" i="24"/>
  <c r="BL55" i="24" s="1"/>
  <c r="BM55" i="24" s="1"/>
  <c r="BG28" i="24"/>
  <c r="BL28" i="24" s="1"/>
  <c r="BM28" i="24" s="1"/>
  <c r="BG10" i="24"/>
  <c r="BL10" i="24" s="1"/>
  <c r="BM10" i="24" s="1"/>
  <c r="BG101" i="24"/>
  <c r="BL101" i="24" s="1"/>
  <c r="BM101" i="24" s="1"/>
  <c r="BG19" i="24"/>
  <c r="BL19" i="24" s="1"/>
  <c r="BM19" i="24" s="1"/>
  <c r="BG63" i="24"/>
  <c r="BL63" i="24" s="1"/>
  <c r="BM63" i="24" s="1"/>
  <c r="BR41" i="24"/>
  <c r="BG72" i="24"/>
  <c r="BL72" i="24" s="1"/>
  <c r="BM72" i="24" s="1"/>
  <c r="BG46" i="24"/>
  <c r="BL46" i="24" s="1"/>
  <c r="BM46" i="24" s="1"/>
  <c r="BR91" i="24"/>
  <c r="BR29" i="24"/>
  <c r="BR59" i="24"/>
  <c r="BR85" i="24"/>
  <c r="BR96" i="24"/>
  <c r="BG31" i="24"/>
  <c r="BL31" i="24" s="1"/>
  <c r="BM31" i="24" s="1"/>
  <c r="BG56" i="24"/>
  <c r="BL56" i="24" s="1"/>
  <c r="BM56" i="24" s="1"/>
  <c r="BG18" i="24"/>
  <c r="BL18" i="24" s="1"/>
  <c r="BM18" i="24" s="1"/>
  <c r="BR82" i="24"/>
  <c r="BR36" i="24"/>
  <c r="BR92" i="24"/>
  <c r="BR68" i="24"/>
  <c r="BR87" i="24"/>
  <c r="BR74" i="24"/>
  <c r="BR78" i="24"/>
  <c r="BR105" i="24"/>
  <c r="BR21" i="24"/>
  <c r="BR89" i="24"/>
  <c r="B122" i="2"/>
  <c r="B128" i="2"/>
  <c r="E19" i="1" s="1"/>
  <c r="AZ106" i="19"/>
  <c r="BL106" i="19" s="1"/>
  <c r="BM106" i="19" s="1"/>
  <c r="BZ106" i="19" s="1"/>
  <c r="BK106" i="19"/>
  <c r="B257" i="2"/>
  <c r="BI106" i="19"/>
  <c r="BJ106" i="19"/>
  <c r="BC106" i="19"/>
  <c r="BB106" i="19"/>
  <c r="BD106" i="19"/>
  <c r="BG106" i="19"/>
  <c r="BU106" i="19"/>
  <c r="CA106" i="19" s="1"/>
  <c r="BH106" i="19"/>
  <c r="BA106" i="19"/>
  <c r="BF106" i="19"/>
  <c r="BS106" i="19"/>
  <c r="BE106" i="19"/>
  <c r="BU11" i="25" l="1"/>
  <c r="BU42" i="25"/>
  <c r="BU28" i="25"/>
  <c r="BU92" i="25"/>
  <c r="BW92" i="25" s="1"/>
  <c r="BU41" i="25"/>
  <c r="BX41" i="25" s="1"/>
  <c r="BZ41" i="25" s="1"/>
  <c r="CA41" i="25" s="1"/>
  <c r="BU17" i="25"/>
  <c r="BX17" i="25" s="1"/>
  <c r="BZ17" i="25" s="1"/>
  <c r="CA17" i="25" s="1"/>
  <c r="BU100" i="25"/>
  <c r="BX100" i="25" s="1"/>
  <c r="BZ100" i="25" s="1"/>
  <c r="CA100" i="25" s="1"/>
  <c r="BU10" i="25"/>
  <c r="BX10" i="25" s="1"/>
  <c r="BZ10" i="25" s="1"/>
  <c r="CA10" i="25" s="1"/>
  <c r="BU105" i="25"/>
  <c r="BW105" i="25" s="1"/>
  <c r="BU80" i="25"/>
  <c r="BW80" i="25" s="1"/>
  <c r="BU35" i="25"/>
  <c r="BW35" i="25" s="1"/>
  <c r="BU59" i="25"/>
  <c r="BW59" i="25" s="1"/>
  <c r="BU64" i="25"/>
  <c r="BX64" i="25" s="1"/>
  <c r="BZ64" i="25" s="1"/>
  <c r="CA64" i="25" s="1"/>
  <c r="BU21" i="25"/>
  <c r="BW21" i="25" s="1"/>
  <c r="BU18" i="25"/>
  <c r="BX18" i="25" s="1"/>
  <c r="BZ18" i="25" s="1"/>
  <c r="CA18" i="25" s="1"/>
  <c r="BK65" i="25"/>
  <c r="BX65" i="25"/>
  <c r="BZ65" i="25" s="1"/>
  <c r="BK49" i="25"/>
  <c r="BX49" i="25"/>
  <c r="BZ49" i="25" s="1"/>
  <c r="CA49" i="25" s="1"/>
  <c r="BK22" i="25"/>
  <c r="BK79" i="25"/>
  <c r="BK44" i="25"/>
  <c r="BK47" i="25"/>
  <c r="BK37" i="25"/>
  <c r="BK78" i="25"/>
  <c r="BX42" i="25"/>
  <c r="BZ42" i="25" s="1"/>
  <c r="CA42" i="25" s="1"/>
  <c r="BK42" i="25"/>
  <c r="BK70" i="25"/>
  <c r="BK71" i="25"/>
  <c r="BX28" i="25"/>
  <c r="BZ28" i="25" s="1"/>
  <c r="CA28" i="25" s="1"/>
  <c r="BK28" i="25"/>
  <c r="BK68" i="25"/>
  <c r="BK75" i="25"/>
  <c r="BK74" i="25"/>
  <c r="BX52" i="25"/>
  <c r="BZ52" i="25" s="1"/>
  <c r="BK52" i="25"/>
  <c r="BK54" i="25"/>
  <c r="BK96" i="25"/>
  <c r="BK15" i="25"/>
  <c r="BK91" i="25"/>
  <c r="BU6" i="25"/>
  <c r="BW6" i="25" s="1"/>
  <c r="BX99" i="25"/>
  <c r="BZ99" i="25" s="1"/>
  <c r="CA99" i="25" s="1"/>
  <c r="BK99" i="25"/>
  <c r="BU22" i="25"/>
  <c r="BX22" i="25" s="1"/>
  <c r="BZ22" i="25" s="1"/>
  <c r="CA22" i="25" s="1"/>
  <c r="BU44" i="25"/>
  <c r="BX44" i="25" s="1"/>
  <c r="BZ44" i="25" s="1"/>
  <c r="BU30" i="25"/>
  <c r="BX30" i="25" s="1"/>
  <c r="BZ30" i="25" s="1"/>
  <c r="CA30" i="25" s="1"/>
  <c r="BU16" i="25"/>
  <c r="BX16" i="25" s="1"/>
  <c r="BZ16" i="25" s="1"/>
  <c r="CA16" i="25" s="1"/>
  <c r="BU37" i="25"/>
  <c r="BX37" i="25" s="1"/>
  <c r="BZ37" i="25" s="1"/>
  <c r="CA37" i="25" s="1"/>
  <c r="BU71" i="25"/>
  <c r="BX71" i="25" s="1"/>
  <c r="BZ71" i="25" s="1"/>
  <c r="CA71" i="25" s="1"/>
  <c r="BU74" i="25"/>
  <c r="BX74" i="25" s="1"/>
  <c r="BZ74" i="25" s="1"/>
  <c r="BU54" i="25"/>
  <c r="BX54" i="25" s="1"/>
  <c r="BZ54" i="25" s="1"/>
  <c r="BU46" i="25"/>
  <c r="BX46" i="25" s="1"/>
  <c r="BZ46" i="25" s="1"/>
  <c r="BU96" i="25"/>
  <c r="BX96" i="25" s="1"/>
  <c r="BZ96" i="25" s="1"/>
  <c r="CA96" i="25" s="1"/>
  <c r="BU15" i="25"/>
  <c r="BX15" i="25" s="1"/>
  <c r="BZ15" i="25" s="1"/>
  <c r="CA15" i="25" s="1"/>
  <c r="BU19" i="25"/>
  <c r="BW19" i="25" s="1"/>
  <c r="BU91" i="25"/>
  <c r="BX91" i="25" s="1"/>
  <c r="BZ91" i="25" s="1"/>
  <c r="BX6" i="25"/>
  <c r="BZ6" i="25" s="1"/>
  <c r="CA6" i="25" s="1"/>
  <c r="BK6" i="25"/>
  <c r="BX32" i="25"/>
  <c r="BZ32" i="25" s="1"/>
  <c r="BK32" i="25"/>
  <c r="BX55" i="25"/>
  <c r="BK55" i="25"/>
  <c r="BK7" i="25"/>
  <c r="BK9" i="25"/>
  <c r="BX90" i="25"/>
  <c r="BZ90" i="25" s="1"/>
  <c r="CA90" i="25" s="1"/>
  <c r="BK90" i="25"/>
  <c r="BX58" i="25"/>
  <c r="BZ58" i="25" s="1"/>
  <c r="CA58" i="25" s="1"/>
  <c r="BK58" i="25"/>
  <c r="BK29" i="25"/>
  <c r="BX11" i="25"/>
  <c r="BZ11" i="25" s="1"/>
  <c r="CA11" i="25" s="1"/>
  <c r="BK11" i="25"/>
  <c r="BK72" i="25"/>
  <c r="BK30" i="25"/>
  <c r="BK16" i="25"/>
  <c r="BX40" i="25"/>
  <c r="BZ40" i="25" s="1"/>
  <c r="BK40" i="25"/>
  <c r="BX103" i="25"/>
  <c r="BZ103" i="25" s="1"/>
  <c r="BK103" i="25"/>
  <c r="BX102" i="25"/>
  <c r="BZ102" i="25" s="1"/>
  <c r="BK102" i="25"/>
  <c r="BK82" i="25"/>
  <c r="BK56" i="25"/>
  <c r="BX62" i="25"/>
  <c r="BZ62" i="25" s="1"/>
  <c r="CA62" i="25" s="1"/>
  <c r="BK62" i="25"/>
  <c r="BK63" i="25"/>
  <c r="BX83" i="25"/>
  <c r="BZ83" i="25" s="1"/>
  <c r="BK83" i="25"/>
  <c r="BK61" i="25"/>
  <c r="BX61" i="25"/>
  <c r="BX20" i="25"/>
  <c r="BZ20" i="25" s="1"/>
  <c r="BK20" i="25"/>
  <c r="BX86" i="25"/>
  <c r="BZ86" i="25" s="1"/>
  <c r="CA86" i="25" s="1"/>
  <c r="BK86" i="25"/>
  <c r="BK46" i="25"/>
  <c r="BX38" i="25"/>
  <c r="BZ38" i="25" s="1"/>
  <c r="CA38" i="25" s="1"/>
  <c r="BK38" i="25"/>
  <c r="BK19" i="25"/>
  <c r="BK92" i="25"/>
  <c r="BX23" i="25"/>
  <c r="BZ23" i="25" s="1"/>
  <c r="CA23" i="25" s="1"/>
  <c r="BK23" i="25"/>
  <c r="BK73" i="25"/>
  <c r="BX73" i="25"/>
  <c r="BZ73" i="25" s="1"/>
  <c r="CA73" i="25" s="1"/>
  <c r="BK33" i="25"/>
  <c r="BX33" i="25"/>
  <c r="BZ33" i="25" s="1"/>
  <c r="CA33" i="25" s="1"/>
  <c r="BK87" i="25"/>
  <c r="BK50" i="25"/>
  <c r="BK101" i="25"/>
  <c r="BK31" i="25"/>
  <c r="BK76" i="25"/>
  <c r="BK41" i="25"/>
  <c r="BK12" i="25"/>
  <c r="BK53" i="25"/>
  <c r="BU7" i="25"/>
  <c r="BW7" i="25" s="1"/>
  <c r="BK51" i="25"/>
  <c r="BK17" i="25"/>
  <c r="BK39" i="25"/>
  <c r="BK88" i="25"/>
  <c r="BK100" i="25"/>
  <c r="BK93" i="25"/>
  <c r="BK14" i="25"/>
  <c r="BK27" i="25"/>
  <c r="BK10" i="25"/>
  <c r="BX34" i="25"/>
  <c r="BZ34" i="25" s="1"/>
  <c r="CA34" i="25" s="1"/>
  <c r="BK34" i="25"/>
  <c r="BK48" i="25"/>
  <c r="BK105" i="25"/>
  <c r="E45" i="1" s="1"/>
  <c r="E46" i="1" s="1"/>
  <c r="BK26" i="25"/>
  <c r="BK77" i="25"/>
  <c r="BK25" i="25"/>
  <c r="BK80" i="25"/>
  <c r="BK69" i="25"/>
  <c r="BK35" i="25"/>
  <c r="BK97" i="25"/>
  <c r="BK13" i="25"/>
  <c r="BK81" i="25"/>
  <c r="BK89" i="25"/>
  <c r="BK8" i="25"/>
  <c r="BK24" i="25"/>
  <c r="BK104" i="25"/>
  <c r="BK59" i="25"/>
  <c r="BK64" i="25"/>
  <c r="BK67" i="25"/>
  <c r="BK94" i="25"/>
  <c r="BK21" i="25"/>
  <c r="BK36" i="25"/>
  <c r="BK45" i="25"/>
  <c r="BX43" i="25"/>
  <c r="BZ43" i="25" s="1"/>
  <c r="CA43" i="25" s="1"/>
  <c r="BK43" i="25"/>
  <c r="BX60" i="25"/>
  <c r="BZ60" i="25" s="1"/>
  <c r="BK60" i="25"/>
  <c r="BX98" i="25"/>
  <c r="BZ98" i="25" s="1"/>
  <c r="BK98" i="25"/>
  <c r="BW40" i="25"/>
  <c r="BW42" i="25"/>
  <c r="BW83" i="25"/>
  <c r="BW20" i="25"/>
  <c r="BW32" i="25"/>
  <c r="BW60" i="25"/>
  <c r="BW49" i="25"/>
  <c r="BW11" i="25"/>
  <c r="BW34" i="25"/>
  <c r="BW99" i="25"/>
  <c r="BW90" i="25"/>
  <c r="BW33" i="25"/>
  <c r="BW98" i="25"/>
  <c r="BW103" i="25"/>
  <c r="BW62" i="25"/>
  <c r="BW61" i="25"/>
  <c r="BW52" i="25"/>
  <c r="BW38" i="25"/>
  <c r="BW23" i="25"/>
  <c r="BW65" i="25"/>
  <c r="BW55" i="25"/>
  <c r="BW43" i="25"/>
  <c r="BW102" i="25"/>
  <c r="BW28" i="25"/>
  <c r="BW86" i="25"/>
  <c r="BW73" i="25"/>
  <c r="BW58" i="25"/>
  <c r="BU50" i="25"/>
  <c r="BX50" i="25" s="1"/>
  <c r="BU51" i="25"/>
  <c r="BX51" i="25" s="1"/>
  <c r="BU78" i="25"/>
  <c r="BX78" i="25" s="1"/>
  <c r="BU63" i="25"/>
  <c r="BX63" i="25" s="1"/>
  <c r="BU75" i="25"/>
  <c r="BX75" i="25" s="1"/>
  <c r="BU101" i="25"/>
  <c r="BX101" i="25" s="1"/>
  <c r="BU76" i="25"/>
  <c r="BX76" i="25" s="1"/>
  <c r="BU12" i="25"/>
  <c r="BX12" i="25" s="1"/>
  <c r="BU53" i="25"/>
  <c r="BX53" i="25" s="1"/>
  <c r="BU82" i="25"/>
  <c r="BX82" i="25" s="1"/>
  <c r="BU70" i="25"/>
  <c r="BX70" i="25" s="1"/>
  <c r="BU9" i="25"/>
  <c r="BX9" i="25" s="1"/>
  <c r="BU57" i="25"/>
  <c r="BX57" i="25" s="1"/>
  <c r="BU68" i="25"/>
  <c r="BX68" i="25" s="1"/>
  <c r="BU27" i="25"/>
  <c r="BX27" i="25" s="1"/>
  <c r="BU26" i="25"/>
  <c r="BX26" i="25" s="1"/>
  <c r="BX19" i="24"/>
  <c r="BZ19" i="24" s="1"/>
  <c r="CA19" i="24" s="1"/>
  <c r="BW19" i="24"/>
  <c r="BX72" i="24"/>
  <c r="BZ72" i="24" s="1"/>
  <c r="CA72" i="24" s="1"/>
  <c r="BW72" i="24"/>
  <c r="BX10" i="24"/>
  <c r="BZ10" i="24" s="1"/>
  <c r="CA10" i="24" s="1"/>
  <c r="BW10" i="24"/>
  <c r="BX101" i="24"/>
  <c r="BZ101" i="24" s="1"/>
  <c r="CA101" i="24" s="1"/>
  <c r="BW101" i="24"/>
  <c r="BX55" i="24"/>
  <c r="BZ55" i="24" s="1"/>
  <c r="CA55" i="24" s="1"/>
  <c r="B255" i="2" s="1"/>
  <c r="BW55" i="24"/>
  <c r="BX100" i="24"/>
  <c r="BZ100" i="24" s="1"/>
  <c r="CA100" i="24" s="1"/>
  <c r="BW100" i="24"/>
  <c r="BX56" i="24"/>
  <c r="BZ56" i="24" s="1"/>
  <c r="CA56" i="24" s="1"/>
  <c r="BW56" i="24"/>
  <c r="BX25" i="24"/>
  <c r="BZ25" i="24" s="1"/>
  <c r="CA25" i="24" s="1"/>
  <c r="BW25" i="24"/>
  <c r="BX70" i="24"/>
  <c r="BZ70" i="24" s="1"/>
  <c r="BW70" i="24"/>
  <c r="BX60" i="24"/>
  <c r="BZ60" i="24" s="1"/>
  <c r="BW60" i="24"/>
  <c r="BX63" i="24"/>
  <c r="BW63" i="24"/>
  <c r="BX31" i="24"/>
  <c r="BZ31" i="24" s="1"/>
  <c r="CA31" i="24" s="1"/>
  <c r="BW31" i="24"/>
  <c r="BX28" i="24"/>
  <c r="BZ28" i="24" s="1"/>
  <c r="CA28" i="24" s="1"/>
  <c r="BW28" i="24"/>
  <c r="BX18" i="24"/>
  <c r="BZ18" i="24" s="1"/>
  <c r="CA18" i="24" s="1"/>
  <c r="BW18" i="24"/>
  <c r="BU48" i="25"/>
  <c r="BX48" i="25" s="1"/>
  <c r="BU66" i="25"/>
  <c r="BX66" i="25" s="1"/>
  <c r="BX69" i="24"/>
  <c r="BZ69" i="24" s="1"/>
  <c r="CA69" i="24" s="1"/>
  <c r="BW69" i="24"/>
  <c r="BX42" i="24"/>
  <c r="BZ42" i="24" s="1"/>
  <c r="CA42" i="24" s="1"/>
  <c r="BW42" i="24"/>
  <c r="BX83" i="24"/>
  <c r="BZ83" i="24" s="1"/>
  <c r="CA83" i="24" s="1"/>
  <c r="BW83" i="24"/>
  <c r="BX46" i="24"/>
  <c r="BZ46" i="24" s="1"/>
  <c r="CA46" i="24" s="1"/>
  <c r="BW46" i="24"/>
  <c r="BX50" i="24"/>
  <c r="BZ50" i="24" s="1"/>
  <c r="BW50" i="24"/>
  <c r="BU87" i="25"/>
  <c r="BX87" i="25" s="1"/>
  <c r="BU56" i="25"/>
  <c r="BX56" i="25" s="1"/>
  <c r="BU85" i="25"/>
  <c r="BX85" i="25" s="1"/>
  <c r="BU39" i="25"/>
  <c r="BX39" i="25" s="1"/>
  <c r="BU88" i="25"/>
  <c r="BX88" i="25" s="1"/>
  <c r="BU93" i="25"/>
  <c r="BX93" i="25" s="1"/>
  <c r="BU14" i="25"/>
  <c r="BX14" i="25" s="1"/>
  <c r="BU77" i="25"/>
  <c r="BX77" i="25" s="1"/>
  <c r="BU25" i="25"/>
  <c r="BX25" i="25" s="1"/>
  <c r="BU69" i="25"/>
  <c r="BX69" i="25" s="1"/>
  <c r="BU97" i="25"/>
  <c r="BX97" i="25" s="1"/>
  <c r="BU13" i="25"/>
  <c r="BX13" i="25" s="1"/>
  <c r="BU81" i="25"/>
  <c r="BX81" i="25" s="1"/>
  <c r="BU89" i="25"/>
  <c r="BX89" i="25" s="1"/>
  <c r="BU8" i="25"/>
  <c r="BX8" i="25" s="1"/>
  <c r="BU24" i="25"/>
  <c r="BX24" i="25" s="1"/>
  <c r="BU104" i="25"/>
  <c r="BX104" i="25" s="1"/>
  <c r="BU67" i="25"/>
  <c r="BX67" i="25" s="1"/>
  <c r="BU94" i="25"/>
  <c r="BX94" i="25" s="1"/>
  <c r="BU36" i="25"/>
  <c r="BX36" i="25" s="1"/>
  <c r="BU45" i="25"/>
  <c r="BX45" i="25" s="1"/>
  <c r="BU84" i="25"/>
  <c r="BX84" i="25" s="1"/>
  <c r="BU95" i="25"/>
  <c r="BX95" i="25" s="1"/>
  <c r="BU31" i="25"/>
  <c r="BX31" i="25" s="1"/>
  <c r="BU29" i="25"/>
  <c r="BX29" i="25" s="1"/>
  <c r="BU79" i="25"/>
  <c r="BX79" i="25" s="1"/>
  <c r="BU72" i="25"/>
  <c r="BX72" i="25" s="1"/>
  <c r="BU47" i="25"/>
  <c r="BX47" i="25" s="1"/>
  <c r="BX5" i="24"/>
  <c r="BZ5" i="24" s="1"/>
  <c r="CA5" i="24" s="1"/>
  <c r="BX53" i="24"/>
  <c r="BZ53" i="24" s="1"/>
  <c r="CA53" i="24" s="1"/>
  <c r="BX32" i="24"/>
  <c r="BZ32" i="24" s="1"/>
  <c r="CA32" i="24" s="1"/>
  <c r="BR22" i="24"/>
  <c r="BU22" i="24" s="1"/>
  <c r="BW22" i="24" s="1"/>
  <c r="BZ63" i="24"/>
  <c r="CE63" i="24" s="1"/>
  <c r="BU82" i="24"/>
  <c r="BW82" i="24" s="1"/>
  <c r="BU87" i="24"/>
  <c r="BW87" i="24" s="1"/>
  <c r="BU96" i="24"/>
  <c r="BW96" i="24" s="1"/>
  <c r="BU91" i="24"/>
  <c r="BW91" i="24" s="1"/>
  <c r="BU79" i="24"/>
  <c r="BW79" i="24" s="1"/>
  <c r="BU104" i="24"/>
  <c r="BW104" i="24" s="1"/>
  <c r="BU105" i="24"/>
  <c r="BW105" i="24" s="1"/>
  <c r="BU68" i="24"/>
  <c r="BW68" i="24" s="1"/>
  <c r="BU85" i="24"/>
  <c r="BW85" i="24" s="1"/>
  <c r="BU14" i="24"/>
  <c r="BW14" i="24" s="1"/>
  <c r="BU78" i="24"/>
  <c r="BW78" i="24" s="1"/>
  <c r="BU92" i="24"/>
  <c r="BW92" i="24" s="1"/>
  <c r="BU59" i="24"/>
  <c r="BW59" i="24" s="1"/>
  <c r="BU54" i="24"/>
  <c r="BW54" i="24" s="1"/>
  <c r="BU81" i="24"/>
  <c r="BU51" i="24"/>
  <c r="BU73" i="24"/>
  <c r="BU21" i="24"/>
  <c r="BW21" i="24" s="1"/>
  <c r="BU95" i="24"/>
  <c r="BW95" i="24" s="1"/>
  <c r="BU34" i="24"/>
  <c r="BW34" i="24" s="1"/>
  <c r="BU43" i="24"/>
  <c r="BU89" i="24"/>
  <c r="BW89" i="24" s="1"/>
  <c r="BU74" i="24"/>
  <c r="BW74" i="24" s="1"/>
  <c r="BU36" i="24"/>
  <c r="BW36" i="24" s="1"/>
  <c r="BU29" i="24"/>
  <c r="BU41" i="24"/>
  <c r="BW41" i="24" s="1"/>
  <c r="BU40" i="24"/>
  <c r="BU35" i="24"/>
  <c r="BW166" i="24"/>
  <c r="BR165" i="24"/>
  <c r="BW165" i="24" s="1"/>
  <c r="BG167" i="24"/>
  <c r="BM167" i="24" s="1"/>
  <c r="BK171" i="25"/>
  <c r="BX171" i="25"/>
  <c r="BZ171" i="25" s="1"/>
  <c r="BK154" i="25"/>
  <c r="BX154" i="25"/>
  <c r="BZ154" i="25" s="1"/>
  <c r="BX147" i="25"/>
  <c r="BZ147" i="25" s="1"/>
  <c r="BK147" i="25"/>
  <c r="BX139" i="25"/>
  <c r="BZ139" i="25" s="1"/>
  <c r="CA139" i="25" s="1"/>
  <c r="BK139" i="25"/>
  <c r="BX115" i="25"/>
  <c r="BZ115" i="25" s="1"/>
  <c r="CA115" i="25" s="1"/>
  <c r="BK115" i="25"/>
  <c r="BX200" i="25"/>
  <c r="BZ200" i="25" s="1"/>
  <c r="BK200" i="25"/>
  <c r="BX134" i="25"/>
  <c r="BZ134" i="25" s="1"/>
  <c r="CA134" i="25" s="1"/>
  <c r="BK134" i="25"/>
  <c r="BK126" i="25"/>
  <c r="BX126" i="25"/>
  <c r="BZ126" i="25" s="1"/>
  <c r="CA126" i="25" s="1"/>
  <c r="BK132" i="25"/>
  <c r="BX132" i="25"/>
  <c r="BZ132" i="25" s="1"/>
  <c r="BK156" i="25"/>
  <c r="BX156" i="25"/>
  <c r="BZ156" i="25" s="1"/>
  <c r="CA156" i="25" s="1"/>
  <c r="BX128" i="25"/>
  <c r="BZ128" i="25" s="1"/>
  <c r="CA128" i="25" s="1"/>
  <c r="BK128" i="25"/>
  <c r="BK173" i="25"/>
  <c r="BX173" i="25"/>
  <c r="BZ173" i="25" s="1"/>
  <c r="BK127" i="25"/>
  <c r="BX127" i="25"/>
  <c r="BZ127" i="25" s="1"/>
  <c r="CA127" i="25" s="1"/>
  <c r="BK186" i="25"/>
  <c r="BX186" i="25"/>
  <c r="BZ186" i="25" s="1"/>
  <c r="BK166" i="25"/>
  <c r="BX166" i="25"/>
  <c r="BZ166" i="25" s="1"/>
  <c r="BK184" i="25"/>
  <c r="BX184" i="25"/>
  <c r="BZ184" i="25" s="1"/>
  <c r="BK157" i="25"/>
  <c r="BX157" i="25"/>
  <c r="BZ157" i="25" s="1"/>
  <c r="BX124" i="25"/>
  <c r="BZ124" i="25" s="1"/>
  <c r="CA124" i="25" s="1"/>
  <c r="BK124" i="25"/>
  <c r="BX176" i="25"/>
  <c r="BZ176" i="25" s="1"/>
  <c r="BK176" i="25"/>
  <c r="BK172" i="25"/>
  <c r="BX172" i="25"/>
  <c r="BZ172" i="25" s="1"/>
  <c r="BK203" i="25"/>
  <c r="BX203" i="25"/>
  <c r="BZ203" i="25" s="1"/>
  <c r="BK113" i="25"/>
  <c r="BX113" i="25"/>
  <c r="BZ113" i="25" s="1"/>
  <c r="CA113" i="25" s="1"/>
  <c r="BX131" i="25"/>
  <c r="BZ131" i="25" s="1"/>
  <c r="CA131" i="25" s="1"/>
  <c r="BK131" i="25"/>
  <c r="BK178" i="25"/>
  <c r="BX178" i="25"/>
  <c r="BZ178" i="25" s="1"/>
  <c r="BK121" i="25"/>
  <c r="BX121" i="25"/>
  <c r="BZ121" i="25" s="1"/>
  <c r="BQ110" i="25"/>
  <c r="BW110" i="25" s="1"/>
  <c r="BE110" i="25"/>
  <c r="BK129" i="25"/>
  <c r="BX129" i="25"/>
  <c r="BZ129" i="25" s="1"/>
  <c r="BK183" i="25"/>
  <c r="BX183" i="25"/>
  <c r="BZ183" i="25" s="1"/>
  <c r="BX161" i="25"/>
  <c r="BZ161" i="25" s="1"/>
  <c r="BK161" i="25"/>
  <c r="BX133" i="25"/>
  <c r="BZ133" i="25" s="1"/>
  <c r="CA133" i="25" s="1"/>
  <c r="BK133" i="25"/>
  <c r="BX193" i="25"/>
  <c r="BZ193" i="25" s="1"/>
  <c r="BK193" i="25"/>
  <c r="BK138" i="25"/>
  <c r="BX138" i="25"/>
  <c r="BZ138" i="25" s="1"/>
  <c r="CA138" i="25" s="1"/>
  <c r="BX144" i="25"/>
  <c r="BZ144" i="25" s="1"/>
  <c r="BK144" i="25"/>
  <c r="BX125" i="25"/>
  <c r="BZ125" i="25" s="1"/>
  <c r="CA125" i="25" s="1"/>
  <c r="BK125" i="25"/>
  <c r="BK164" i="25"/>
  <c r="BX164" i="25"/>
  <c r="BZ164" i="25" s="1"/>
  <c r="BX197" i="25"/>
  <c r="BZ197" i="25" s="1"/>
  <c r="BK197" i="25"/>
  <c r="BX112" i="25"/>
  <c r="BZ112" i="25" s="1"/>
  <c r="CA112" i="25" s="1"/>
  <c r="BK112" i="25"/>
  <c r="BK119" i="25"/>
  <c r="BX119" i="25"/>
  <c r="BZ119" i="25" s="1"/>
  <c r="CA119" i="25" s="1"/>
  <c r="BK206" i="25"/>
  <c r="BX206" i="25"/>
  <c r="BZ206" i="25" s="1"/>
  <c r="BX114" i="25"/>
  <c r="BZ114" i="25" s="1"/>
  <c r="CA114" i="25" s="1"/>
  <c r="BK114" i="25"/>
  <c r="BK137" i="25"/>
  <c r="BX137" i="25"/>
  <c r="BZ137" i="25" s="1"/>
  <c r="CA137" i="25" s="1"/>
  <c r="BX136" i="25"/>
  <c r="BZ136" i="25" s="1"/>
  <c r="BK136" i="25"/>
  <c r="BK165" i="25"/>
  <c r="BX165" i="25"/>
  <c r="BZ165" i="25" s="1"/>
  <c r="BK185" i="25"/>
  <c r="BX185" i="25"/>
  <c r="BZ185" i="25" s="1"/>
  <c r="CA185" i="25" s="1"/>
  <c r="BX141" i="25"/>
  <c r="BZ141" i="25" s="1"/>
  <c r="CA141" i="25" s="1"/>
  <c r="BK141" i="25"/>
  <c r="BK201" i="25"/>
  <c r="BX201" i="25"/>
  <c r="BZ201" i="25" s="1"/>
  <c r="BX174" i="25"/>
  <c r="BZ174" i="25" s="1"/>
  <c r="BK174" i="25"/>
  <c r="BX140" i="25"/>
  <c r="BZ140" i="25" s="1"/>
  <c r="CA140" i="25" s="1"/>
  <c r="BK140" i="25"/>
  <c r="BX120" i="25"/>
  <c r="BZ120" i="25" s="1"/>
  <c r="CA120" i="25" s="1"/>
  <c r="BK120" i="25"/>
  <c r="BK148" i="25"/>
  <c r="BX148" i="25"/>
  <c r="BZ148" i="25" s="1"/>
  <c r="BX192" i="25"/>
  <c r="BZ192" i="25" s="1"/>
  <c r="BK192" i="25"/>
  <c r="BK117" i="25"/>
  <c r="BX117" i="25"/>
  <c r="BZ117" i="25" s="1"/>
  <c r="CA117" i="25" s="1"/>
  <c r="BX181" i="25"/>
  <c r="BZ181" i="25" s="1"/>
  <c r="CA181" i="25" s="1"/>
  <c r="BK181" i="25"/>
  <c r="BX116" i="25"/>
  <c r="BZ116" i="25" s="1"/>
  <c r="CA116" i="25" s="1"/>
  <c r="BK116" i="25"/>
  <c r="BK123" i="25"/>
  <c r="BX123" i="25"/>
  <c r="BZ123" i="25" s="1"/>
  <c r="CA123" i="25" s="1"/>
  <c r="BX170" i="25"/>
  <c r="BZ170" i="25" s="1"/>
  <c r="BK170" i="25"/>
  <c r="BX122" i="25"/>
  <c r="BZ122" i="25" s="1"/>
  <c r="CA122" i="25" s="1"/>
  <c r="BK122" i="25"/>
  <c r="BX210" i="25"/>
  <c r="BZ210" i="25" s="1"/>
  <c r="CA210" i="25" s="1"/>
  <c r="BK210" i="25"/>
  <c r="BK158" i="25"/>
  <c r="BX158" i="25"/>
  <c r="BZ158" i="25" s="1"/>
  <c r="BK163" i="25"/>
  <c r="BX163" i="25"/>
  <c r="BZ163" i="25" s="1"/>
  <c r="BK111" i="25"/>
  <c r="BX111" i="25"/>
  <c r="BZ111" i="25" s="1"/>
  <c r="CA111" i="25" s="1"/>
  <c r="BK159" i="25"/>
  <c r="BX159" i="25"/>
  <c r="BZ159" i="25" s="1"/>
  <c r="BX160" i="25"/>
  <c r="BZ160" i="25" s="1"/>
  <c r="CA160" i="25" s="1"/>
  <c r="BK168" i="25"/>
  <c r="BX168" i="25"/>
  <c r="BZ168" i="25" s="1"/>
  <c r="BK191" i="25"/>
  <c r="BX191" i="25"/>
  <c r="BZ191" i="25" s="1"/>
  <c r="BK142" i="25"/>
  <c r="BX142" i="25"/>
  <c r="BZ142" i="25" s="1"/>
  <c r="BK145" i="25"/>
  <c r="BX145" i="25"/>
  <c r="BZ145" i="25" s="1"/>
  <c r="BX180" i="25"/>
  <c r="BZ180" i="25" s="1"/>
  <c r="BK180" i="25"/>
  <c r="BX204" i="25"/>
  <c r="BZ204" i="25" s="1"/>
  <c r="CA204" i="25" s="1"/>
  <c r="BK204" i="25"/>
  <c r="BX188" i="25"/>
  <c r="BZ188" i="25" s="1"/>
  <c r="BK188" i="25"/>
  <c r="BK155" i="25"/>
  <c r="BX155" i="25"/>
  <c r="BZ155" i="25" s="1"/>
  <c r="CA155" i="25" s="1"/>
  <c r="BX187" i="25"/>
  <c r="BZ187" i="25" s="1"/>
  <c r="BK187" i="25"/>
  <c r="BX167" i="25"/>
  <c r="BZ167" i="25" s="1"/>
  <c r="BK167" i="25"/>
  <c r="BK169" i="25"/>
  <c r="BX169" i="25"/>
  <c r="BZ169" i="25" s="1"/>
  <c r="CA169" i="25" s="1"/>
  <c r="BK150" i="25"/>
  <c r="BX150" i="25"/>
  <c r="BZ150" i="25" s="1"/>
  <c r="BK146" i="25"/>
  <c r="BX146" i="25"/>
  <c r="BZ146" i="25" s="1"/>
  <c r="BK179" i="25"/>
  <c r="BX179" i="25"/>
  <c r="BZ179" i="25" s="1"/>
  <c r="BX151" i="25"/>
  <c r="BZ151" i="25" s="1"/>
  <c r="BK151" i="25"/>
  <c r="BX153" i="25"/>
  <c r="BZ153" i="25" s="1"/>
  <c r="CA153" i="25" s="1"/>
  <c r="BK153" i="25"/>
  <c r="BX149" i="25"/>
  <c r="BZ149" i="25" s="1"/>
  <c r="BK149" i="25"/>
  <c r="BK199" i="25"/>
  <c r="BX199" i="25"/>
  <c r="BZ199" i="25" s="1"/>
  <c r="BX196" i="25"/>
  <c r="BZ196" i="25" s="1"/>
  <c r="CA196" i="25" s="1"/>
  <c r="BK196" i="25"/>
  <c r="BX205" i="25"/>
  <c r="BZ205" i="25" s="1"/>
  <c r="BK205" i="25"/>
  <c r="BK195" i="25"/>
  <c r="BX195" i="25"/>
  <c r="BZ195" i="25" s="1"/>
  <c r="BX190" i="25"/>
  <c r="BZ190" i="25" s="1"/>
  <c r="CA190" i="25" s="1"/>
  <c r="BK190" i="25"/>
  <c r="BX194" i="25"/>
  <c r="BZ194" i="25" s="1"/>
  <c r="BK194" i="25"/>
  <c r="BK135" i="25"/>
  <c r="BX135" i="25"/>
  <c r="BZ135" i="25" s="1"/>
  <c r="BK177" i="25"/>
  <c r="BX177" i="25"/>
  <c r="BZ177" i="25" s="1"/>
  <c r="BX209" i="25"/>
  <c r="BZ209" i="25" s="1"/>
  <c r="CA209" i="25" s="1"/>
  <c r="BK209" i="25"/>
  <c r="BX118" i="25"/>
  <c r="BZ118" i="25" s="1"/>
  <c r="CA118" i="25" s="1"/>
  <c r="BK118" i="25"/>
  <c r="BX182" i="25"/>
  <c r="BZ182" i="25" s="1"/>
  <c r="BK182" i="25"/>
  <c r="BX208" i="25"/>
  <c r="BZ208" i="25" s="1"/>
  <c r="CA208" i="25" s="1"/>
  <c r="BK208" i="25"/>
  <c r="BX130" i="25"/>
  <c r="BZ130" i="25" s="1"/>
  <c r="CA130" i="25" s="1"/>
  <c r="BK130" i="25"/>
  <c r="BK207" i="25"/>
  <c r="BX207" i="25"/>
  <c r="BZ207" i="25" s="1"/>
  <c r="CA207" i="25" s="1"/>
  <c r="BX162" i="25"/>
  <c r="BZ162" i="25" s="1"/>
  <c r="BK162" i="25"/>
  <c r="BK143" i="25"/>
  <c r="BX143" i="25"/>
  <c r="BZ143" i="25" s="1"/>
  <c r="BX202" i="25"/>
  <c r="BZ202" i="25" s="1"/>
  <c r="BK202" i="25"/>
  <c r="BX198" i="25"/>
  <c r="BZ198" i="25" s="1"/>
  <c r="BK198" i="25"/>
  <c r="BK189" i="25"/>
  <c r="BX189" i="25"/>
  <c r="BZ189" i="25" s="1"/>
  <c r="BK175" i="25"/>
  <c r="BX175" i="25"/>
  <c r="BZ175" i="25" s="1"/>
  <c r="CA175" i="25" s="1"/>
  <c r="BK152" i="25"/>
  <c r="BX152" i="25"/>
  <c r="BZ152" i="25" s="1"/>
  <c r="CA152" i="25" s="1"/>
  <c r="BG115" i="24"/>
  <c r="BM115" i="24" s="1"/>
  <c r="BX122" i="24"/>
  <c r="BZ122" i="24" s="1"/>
  <c r="BM122" i="24"/>
  <c r="BX118" i="24"/>
  <c r="BZ118" i="24" s="1"/>
  <c r="CA118" i="24" s="1"/>
  <c r="BM118" i="24"/>
  <c r="BM111" i="24"/>
  <c r="BX111" i="24"/>
  <c r="BZ111" i="24" s="1"/>
  <c r="CA111" i="24" s="1"/>
  <c r="BX125" i="24"/>
  <c r="BZ125" i="24" s="1"/>
  <c r="CA125" i="24" s="1"/>
  <c r="BM125" i="24"/>
  <c r="BR110" i="24"/>
  <c r="BW110" i="24" s="1"/>
  <c r="BG110" i="24"/>
  <c r="BR192" i="24"/>
  <c r="BW192" i="24" s="1"/>
  <c r="BG192" i="24"/>
  <c r="BX142" i="24"/>
  <c r="BZ142" i="24" s="1"/>
  <c r="CA142" i="24" s="1"/>
  <c r="BM142" i="24"/>
  <c r="BR130" i="24"/>
  <c r="BW130" i="24" s="1"/>
  <c r="BG130" i="24"/>
  <c r="BX120" i="24"/>
  <c r="BZ120" i="24" s="1"/>
  <c r="CA120" i="24" s="1"/>
  <c r="BM120" i="24"/>
  <c r="BX154" i="24"/>
  <c r="BZ154" i="24" s="1"/>
  <c r="BM154" i="24"/>
  <c r="BX204" i="24"/>
  <c r="BZ204" i="24" s="1"/>
  <c r="BM204" i="24"/>
  <c r="BX162" i="24"/>
  <c r="BZ162" i="24" s="1"/>
  <c r="CA162" i="24" s="1"/>
  <c r="BM162" i="24"/>
  <c r="BX121" i="24"/>
  <c r="BZ121" i="24" s="1"/>
  <c r="CA121" i="24" s="1"/>
  <c r="BM121" i="24"/>
  <c r="BX173" i="24"/>
  <c r="BZ173" i="24" s="1"/>
  <c r="CA173" i="24" s="1"/>
  <c r="BM173" i="24"/>
  <c r="BG208" i="24"/>
  <c r="BR208" i="24"/>
  <c r="BW208" i="24" s="1"/>
  <c r="BR210" i="24"/>
  <c r="BW210" i="24" s="1"/>
  <c r="BG210" i="24"/>
  <c r="BX133" i="24"/>
  <c r="BZ133" i="24" s="1"/>
  <c r="CA133" i="24" s="1"/>
  <c r="BM133" i="24"/>
  <c r="BX184" i="24"/>
  <c r="BZ184" i="24" s="1"/>
  <c r="CA184" i="24" s="1"/>
  <c r="BM184" i="24"/>
  <c r="BX138" i="24"/>
  <c r="BZ138" i="24" s="1"/>
  <c r="CA138" i="24" s="1"/>
  <c r="BM138" i="24"/>
  <c r="BR206" i="24"/>
  <c r="BW206" i="24" s="1"/>
  <c r="BG206" i="24"/>
  <c r="BR123" i="24"/>
  <c r="BW123" i="24" s="1"/>
  <c r="BG123" i="24"/>
  <c r="BX200" i="24"/>
  <c r="BZ200" i="24" s="1"/>
  <c r="CA200" i="24" s="1"/>
  <c r="BM200" i="24"/>
  <c r="BR161" i="24"/>
  <c r="BW161" i="24" s="1"/>
  <c r="BG161" i="24"/>
  <c r="BX178" i="24"/>
  <c r="BZ178" i="24" s="1"/>
  <c r="CA178" i="24" s="1"/>
  <c r="BM178" i="24"/>
  <c r="BX201" i="24"/>
  <c r="BZ201" i="24" s="1"/>
  <c r="CA201" i="24" s="1"/>
  <c r="BM201" i="24"/>
  <c r="BR176" i="24"/>
  <c r="BW176" i="24" s="1"/>
  <c r="BG176" i="24"/>
  <c r="BX185" i="24"/>
  <c r="BZ185" i="24" s="1"/>
  <c r="BW185" i="24"/>
  <c r="BX170" i="24"/>
  <c r="BZ170" i="24" s="1"/>
  <c r="CA170" i="24" s="1"/>
  <c r="BM170" i="24"/>
  <c r="BR159" i="24"/>
  <c r="BW159" i="24" s="1"/>
  <c r="BG159" i="24"/>
  <c r="BR181" i="24"/>
  <c r="BG181" i="24"/>
  <c r="BM181" i="24" s="1"/>
  <c r="BR136" i="24"/>
  <c r="BW136" i="24" s="1"/>
  <c r="BG136" i="24"/>
  <c r="BX116" i="24"/>
  <c r="BZ116" i="24" s="1"/>
  <c r="CA116" i="24" s="1"/>
  <c r="BM116" i="24"/>
  <c r="BX158" i="24"/>
  <c r="BZ158" i="24" s="1"/>
  <c r="BM158" i="24"/>
  <c r="BM131" i="24"/>
  <c r="BX131" i="24"/>
  <c r="BZ131" i="24" s="1"/>
  <c r="CA131" i="24" s="1"/>
  <c r="BX128" i="24"/>
  <c r="BZ128" i="24" s="1"/>
  <c r="CA128" i="24" s="1"/>
  <c r="BM128" i="24"/>
  <c r="BM147" i="24"/>
  <c r="BX147" i="24"/>
  <c r="BZ147" i="24" s="1"/>
  <c r="BM127" i="24"/>
  <c r="BX127" i="24"/>
  <c r="BZ127" i="24" s="1"/>
  <c r="CA127" i="24" s="1"/>
  <c r="BR199" i="24"/>
  <c r="BW199" i="24" s="1"/>
  <c r="BG199" i="24"/>
  <c r="BR194" i="24"/>
  <c r="BW194" i="24" s="1"/>
  <c r="BG194" i="24"/>
  <c r="BM139" i="24"/>
  <c r="BX139" i="24"/>
  <c r="BZ139" i="24" s="1"/>
  <c r="BM207" i="24"/>
  <c r="BX207" i="24"/>
  <c r="BZ207" i="24" s="1"/>
  <c r="BM143" i="24"/>
  <c r="BX143" i="24"/>
  <c r="BZ143" i="24" s="1"/>
  <c r="BX180" i="24"/>
  <c r="BZ180" i="24" s="1"/>
  <c r="CA180" i="24" s="1"/>
  <c r="BM180" i="24"/>
  <c r="BX137" i="24"/>
  <c r="BZ137" i="24" s="1"/>
  <c r="CA137" i="24" s="1"/>
  <c r="BM137" i="24"/>
  <c r="BX202" i="24"/>
  <c r="BZ202" i="24" s="1"/>
  <c r="CA202" i="24" s="1"/>
  <c r="BM202" i="24"/>
  <c r="BX198" i="24"/>
  <c r="BZ198" i="24" s="1"/>
  <c r="CA198" i="24" s="1"/>
  <c r="BM198" i="24"/>
  <c r="BR114" i="24"/>
  <c r="BW114" i="24" s="1"/>
  <c r="BG114" i="24"/>
  <c r="BR155" i="24"/>
  <c r="BW155" i="24" s="1"/>
  <c r="BG155" i="24"/>
  <c r="BX146" i="24"/>
  <c r="BZ146" i="24" s="1"/>
  <c r="BM146" i="24"/>
  <c r="BR189" i="24"/>
  <c r="BG189" i="24"/>
  <c r="BM189" i="24" s="1"/>
  <c r="BX145" i="24"/>
  <c r="BZ145" i="24" s="1"/>
  <c r="CA145" i="24" s="1"/>
  <c r="BM145" i="24"/>
  <c r="BM175" i="24"/>
  <c r="BX175" i="24"/>
  <c r="BZ175" i="24" s="1"/>
  <c r="BX124" i="24"/>
  <c r="BZ124" i="24" s="1"/>
  <c r="CA124" i="24" s="1"/>
  <c r="BM124" i="24"/>
  <c r="BX132" i="24"/>
  <c r="BZ132" i="24" s="1"/>
  <c r="CA132" i="24" s="1"/>
  <c r="BM132" i="24"/>
  <c r="BM179" i="24"/>
  <c r="BX179" i="24"/>
  <c r="BZ179" i="24" s="1"/>
  <c r="BX166" i="24"/>
  <c r="BZ166" i="24" s="1"/>
  <c r="CA166" i="24" s="1"/>
  <c r="BM166" i="24"/>
  <c r="BX177" i="24"/>
  <c r="BZ177" i="24" s="1"/>
  <c r="CA177" i="24" s="1"/>
  <c r="BM177" i="24"/>
  <c r="BM171" i="24"/>
  <c r="BX171" i="24"/>
  <c r="BZ171" i="24" s="1"/>
  <c r="CA171" i="24" s="1"/>
  <c r="BX197" i="24"/>
  <c r="BZ197" i="24" s="1"/>
  <c r="BM197" i="24"/>
  <c r="BX113" i="24"/>
  <c r="BZ113" i="24" s="1"/>
  <c r="CA113" i="24" s="1"/>
  <c r="BM113" i="24"/>
  <c r="BX140" i="24"/>
  <c r="BZ140" i="24" s="1"/>
  <c r="CA140" i="24" s="1"/>
  <c r="BM140" i="24"/>
  <c r="BX150" i="24"/>
  <c r="BZ150" i="24" s="1"/>
  <c r="BM150" i="24"/>
  <c r="BR182" i="24"/>
  <c r="BG182" i="24"/>
  <c r="BM182" i="24" s="1"/>
  <c r="BR195" i="24"/>
  <c r="BW195" i="24" s="1"/>
  <c r="BG195" i="24"/>
  <c r="BR169" i="24"/>
  <c r="BW169" i="24" s="1"/>
  <c r="BG169" i="24"/>
  <c r="BM165" i="24"/>
  <c r="BM135" i="24"/>
  <c r="BX135" i="24"/>
  <c r="BZ135" i="24" s="1"/>
  <c r="CA135" i="24" s="1"/>
  <c r="BX164" i="24"/>
  <c r="BZ164" i="24" s="1"/>
  <c r="CA164" i="24" s="1"/>
  <c r="BM164" i="24"/>
  <c r="BX129" i="24"/>
  <c r="BZ129" i="24" s="1"/>
  <c r="CA129" i="24" s="1"/>
  <c r="BM129" i="24"/>
  <c r="BX126" i="24"/>
  <c r="BZ126" i="24" s="1"/>
  <c r="CA126" i="24" s="1"/>
  <c r="BM126" i="24"/>
  <c r="BX157" i="24"/>
  <c r="BZ157" i="24" s="1"/>
  <c r="BM157" i="24"/>
  <c r="BR156" i="24"/>
  <c r="BW156" i="24" s="1"/>
  <c r="BG156" i="24"/>
  <c r="BR149" i="24"/>
  <c r="BW149" i="24" s="1"/>
  <c r="BG149" i="24"/>
  <c r="BR172" i="24"/>
  <c r="BW172" i="24" s="1"/>
  <c r="BG172" i="24"/>
  <c r="BR193" i="24"/>
  <c r="BW193" i="24" s="1"/>
  <c r="BG193" i="24"/>
  <c r="BX117" i="24"/>
  <c r="BZ117" i="24" s="1"/>
  <c r="CA117" i="24" s="1"/>
  <c r="BM117" i="24"/>
  <c r="BX160" i="24"/>
  <c r="BZ160" i="24" s="1"/>
  <c r="BM160" i="24"/>
  <c r="BR168" i="24"/>
  <c r="BW168" i="24" s="1"/>
  <c r="BG168" i="24"/>
  <c r="BM183" i="24"/>
  <c r="BX183" i="24"/>
  <c r="BZ183" i="24" s="1"/>
  <c r="BX148" i="24"/>
  <c r="BZ148" i="24" s="1"/>
  <c r="CA148" i="24" s="1"/>
  <c r="BM148" i="24"/>
  <c r="BX153" i="24"/>
  <c r="BZ153" i="24" s="1"/>
  <c r="CA153" i="24" s="1"/>
  <c r="BM153" i="24"/>
  <c r="BX186" i="24"/>
  <c r="BZ186" i="24" s="1"/>
  <c r="CA186" i="24" s="1"/>
  <c r="BW186" i="24"/>
  <c r="BR188" i="24"/>
  <c r="BW188" i="24" s="1"/>
  <c r="BG188" i="24"/>
  <c r="BR112" i="24"/>
  <c r="BW112" i="24" s="1"/>
  <c r="BG112" i="24"/>
  <c r="BR141" i="24"/>
  <c r="BW141" i="24" s="1"/>
  <c r="BG141" i="24"/>
  <c r="BX190" i="24"/>
  <c r="BZ190" i="24" s="1"/>
  <c r="BW190" i="24"/>
  <c r="BX174" i="24"/>
  <c r="BZ174" i="24" s="1"/>
  <c r="CA174" i="24" s="1"/>
  <c r="BM174" i="24"/>
  <c r="BX196" i="24"/>
  <c r="BZ196" i="24" s="1"/>
  <c r="CA196" i="24" s="1"/>
  <c r="BM196" i="24"/>
  <c r="BG209" i="24"/>
  <c r="BR209" i="24"/>
  <c r="BW209" i="24" s="1"/>
  <c r="BR134" i="24"/>
  <c r="BW134" i="24" s="1"/>
  <c r="BG134" i="24"/>
  <c r="BX205" i="24"/>
  <c r="BZ205" i="24" s="1"/>
  <c r="BM205" i="24"/>
  <c r="BR191" i="24"/>
  <c r="BW191" i="24" s="1"/>
  <c r="BG191" i="24"/>
  <c r="BR119" i="24"/>
  <c r="BW119" i="24" s="1"/>
  <c r="BG119" i="24"/>
  <c r="BM151" i="24"/>
  <c r="BX151" i="24"/>
  <c r="BZ151" i="24" s="1"/>
  <c r="BM163" i="24"/>
  <c r="BX163" i="24"/>
  <c r="BZ163" i="24" s="1"/>
  <c r="CA163" i="24" s="1"/>
  <c r="BM187" i="24"/>
  <c r="BX187" i="24"/>
  <c r="BZ187" i="24" s="1"/>
  <c r="CA187" i="24" s="1"/>
  <c r="BX152" i="24"/>
  <c r="BZ152" i="24" s="1"/>
  <c r="BM152" i="24"/>
  <c r="BX144" i="24"/>
  <c r="BZ144" i="24" s="1"/>
  <c r="CA144" i="24" s="1"/>
  <c r="BM144" i="24"/>
  <c r="BR203" i="24"/>
  <c r="BW203" i="24" s="1"/>
  <c r="BG203" i="24"/>
  <c r="BR86" i="24"/>
  <c r="BG73" i="24"/>
  <c r="BL73" i="24" s="1"/>
  <c r="BM73" i="24" s="1"/>
  <c r="BR33" i="24"/>
  <c r="BG51" i="24"/>
  <c r="BL51" i="24" s="1"/>
  <c r="BM51" i="24" s="1"/>
  <c r="BR97" i="24"/>
  <c r="BG43" i="24"/>
  <c r="BL43" i="24" s="1"/>
  <c r="BM43" i="24" s="1"/>
  <c r="BR64" i="24"/>
  <c r="BR27" i="24"/>
  <c r="BR23" i="24"/>
  <c r="BR49" i="24"/>
  <c r="BR88" i="24"/>
  <c r="BG81" i="24"/>
  <c r="BL81" i="24" s="1"/>
  <c r="BM81" i="24" s="1"/>
  <c r="BR65" i="24"/>
  <c r="BG35" i="24"/>
  <c r="BL35" i="24" s="1"/>
  <c r="BM35" i="24" s="1"/>
  <c r="AY71" i="24"/>
  <c r="AZ71" i="24" s="1"/>
  <c r="BD71" i="24"/>
  <c r="BE71" i="24"/>
  <c r="BS71" i="24" s="1"/>
  <c r="AY13" i="24"/>
  <c r="AZ13" i="24" s="1"/>
  <c r="BD13" i="24"/>
  <c r="BE13" i="24"/>
  <c r="BS13" i="24" s="1"/>
  <c r="AY15" i="24"/>
  <c r="AZ15" i="24" s="1"/>
  <c r="BE15" i="24"/>
  <c r="BS15" i="24" s="1"/>
  <c r="BD15" i="24"/>
  <c r="AY48" i="24"/>
  <c r="AZ48" i="24" s="1"/>
  <c r="BD48" i="24"/>
  <c r="BE48" i="24"/>
  <c r="BS48" i="24" s="1"/>
  <c r="AY102" i="24"/>
  <c r="AZ102" i="24" s="1"/>
  <c r="BD102" i="24"/>
  <c r="BE102" i="24"/>
  <c r="BS102" i="24" s="1"/>
  <c r="AY93" i="24"/>
  <c r="AZ93" i="24" s="1"/>
  <c r="BE93" i="24"/>
  <c r="BS93" i="24" s="1"/>
  <c r="BD93" i="24"/>
  <c r="AY37" i="24"/>
  <c r="AZ37" i="24" s="1"/>
  <c r="BD37" i="24"/>
  <c r="BE37" i="24"/>
  <c r="BS37" i="24" s="1"/>
  <c r="AY94" i="24"/>
  <c r="AZ94" i="24" s="1"/>
  <c r="BE94" i="24"/>
  <c r="BS94" i="24" s="1"/>
  <c r="BD94" i="24"/>
  <c r="AY8" i="24"/>
  <c r="AZ8" i="24" s="1"/>
  <c r="BD8" i="24"/>
  <c r="BE8" i="24"/>
  <c r="BS8" i="24" s="1"/>
  <c r="AY58" i="24"/>
  <c r="AZ58" i="24" s="1"/>
  <c r="BE58" i="24"/>
  <c r="BS58" i="24" s="1"/>
  <c r="BD58" i="24"/>
  <c r="AY90" i="24"/>
  <c r="AZ90" i="24" s="1"/>
  <c r="BD90" i="24"/>
  <c r="BE90" i="24"/>
  <c r="BS90" i="24" s="1"/>
  <c r="AY99" i="24"/>
  <c r="AZ99" i="24" s="1"/>
  <c r="BD99" i="24"/>
  <c r="BE99" i="24"/>
  <c r="BS99" i="24" s="1"/>
  <c r="AY45" i="24"/>
  <c r="AZ45" i="24" s="1"/>
  <c r="BD45" i="24"/>
  <c r="BE45" i="24"/>
  <c r="BS45" i="24" s="1"/>
  <c r="AY38" i="24"/>
  <c r="AZ38" i="24" s="1"/>
  <c r="BD38" i="24"/>
  <c r="BE38" i="24"/>
  <c r="BS38" i="24" s="1"/>
  <c r="AY77" i="24"/>
  <c r="AZ77" i="24" s="1"/>
  <c r="BE77" i="24"/>
  <c r="BS77" i="24" s="1"/>
  <c r="BD77" i="24"/>
  <c r="AY98" i="24"/>
  <c r="AZ98" i="24" s="1"/>
  <c r="BD98" i="24"/>
  <c r="BE98" i="24"/>
  <c r="BS98" i="24" s="1"/>
  <c r="AY62" i="24"/>
  <c r="AZ62" i="24" s="1"/>
  <c r="BD62" i="24"/>
  <c r="BE62" i="24"/>
  <c r="BS62" i="24" s="1"/>
  <c r="AY47" i="24"/>
  <c r="AZ47" i="24" s="1"/>
  <c r="BE47" i="24"/>
  <c r="BS47" i="24" s="1"/>
  <c r="BD47" i="24"/>
  <c r="AY52" i="24"/>
  <c r="AZ52" i="24" s="1"/>
  <c r="BD52" i="24"/>
  <c r="BE52" i="24"/>
  <c r="BS52" i="24" s="1"/>
  <c r="AY75" i="24"/>
  <c r="AZ75" i="24" s="1"/>
  <c r="BE75" i="24"/>
  <c r="BS75" i="24" s="1"/>
  <c r="BD75" i="24"/>
  <c r="AY103" i="24"/>
  <c r="AZ103" i="24" s="1"/>
  <c r="BE103" i="24"/>
  <c r="BS103" i="24" s="1"/>
  <c r="BD103" i="24"/>
  <c r="AY24" i="24"/>
  <c r="AZ24" i="24" s="1"/>
  <c r="BD24" i="24"/>
  <c r="BE24" i="24"/>
  <c r="BS24" i="24" s="1"/>
  <c r="AY44" i="24"/>
  <c r="AZ44" i="24" s="1"/>
  <c r="BE44" i="24"/>
  <c r="BS44" i="24" s="1"/>
  <c r="BD44" i="24"/>
  <c r="AY67" i="24"/>
  <c r="AZ67" i="24" s="1"/>
  <c r="BE67" i="24"/>
  <c r="BS67" i="24" s="1"/>
  <c r="BD67" i="24"/>
  <c r="AY76" i="24"/>
  <c r="AZ76" i="24" s="1"/>
  <c r="BE76" i="24"/>
  <c r="BS76" i="24" s="1"/>
  <c r="BD76" i="24"/>
  <c r="AY57" i="24"/>
  <c r="AZ57" i="24" s="1"/>
  <c r="BE57" i="24"/>
  <c r="BS57" i="24" s="1"/>
  <c r="BD57" i="24"/>
  <c r="AY84" i="24"/>
  <c r="AZ84" i="24" s="1"/>
  <c r="BD84" i="24"/>
  <c r="BE84" i="24"/>
  <c r="BS84" i="24" s="1"/>
  <c r="AY39" i="24"/>
  <c r="AZ39" i="24" s="1"/>
  <c r="BE39" i="24"/>
  <c r="BS39" i="24" s="1"/>
  <c r="BD39" i="24"/>
  <c r="AY61" i="24"/>
  <c r="AZ61" i="24" s="1"/>
  <c r="BE61" i="24"/>
  <c r="BS61" i="24" s="1"/>
  <c r="BD61" i="24"/>
  <c r="AY16" i="24"/>
  <c r="AZ16" i="24" s="1"/>
  <c r="BE16" i="24"/>
  <c r="BS16" i="24" s="1"/>
  <c r="BD16" i="24"/>
  <c r="AY12" i="24"/>
  <c r="AZ12" i="24" s="1"/>
  <c r="BE12" i="24"/>
  <c r="BS12" i="24" s="1"/>
  <c r="BD12" i="24"/>
  <c r="AY11" i="24"/>
  <c r="AZ11" i="24" s="1"/>
  <c r="BE11" i="24"/>
  <c r="BS11" i="24" s="1"/>
  <c r="BD11" i="24"/>
  <c r="AY17" i="24"/>
  <c r="AZ17" i="24" s="1"/>
  <c r="BD17" i="24"/>
  <c r="BE17" i="24"/>
  <c r="BS17" i="24" s="1"/>
  <c r="AY9" i="24"/>
  <c r="AZ9" i="24" s="1"/>
  <c r="BD9" i="24"/>
  <c r="BE9" i="24"/>
  <c r="BS9" i="24" s="1"/>
  <c r="AY26" i="24"/>
  <c r="AZ26" i="24" s="1"/>
  <c r="BD26" i="24"/>
  <c r="BE26" i="24"/>
  <c r="BS26" i="24" s="1"/>
  <c r="AY20" i="24"/>
  <c r="AZ20" i="24" s="1"/>
  <c r="BE20" i="24"/>
  <c r="BS20" i="24" s="1"/>
  <c r="BD20" i="24"/>
  <c r="AY30" i="24"/>
  <c r="AZ30" i="24" s="1"/>
  <c r="BE30" i="24"/>
  <c r="BS30" i="24" s="1"/>
  <c r="BD30" i="24"/>
  <c r="AY66" i="24"/>
  <c r="AZ66" i="24" s="1"/>
  <c r="BE66" i="24"/>
  <c r="BS66" i="24" s="1"/>
  <c r="BD66" i="24"/>
  <c r="AY80" i="24"/>
  <c r="AZ80" i="24" s="1"/>
  <c r="BD80" i="24"/>
  <c r="BE80" i="24"/>
  <c r="BS80" i="24" s="1"/>
  <c r="AY7" i="24"/>
  <c r="AZ7" i="24" s="1"/>
  <c r="BD7" i="24"/>
  <c r="BE7" i="24"/>
  <c r="BS7" i="24" s="1"/>
  <c r="AY6" i="24"/>
  <c r="AZ6" i="24" s="1"/>
  <c r="BE6" i="24"/>
  <c r="BS6" i="24" s="1"/>
  <c r="BD6" i="24"/>
  <c r="BR5" i="25"/>
  <c r="BQ5" i="25"/>
  <c r="BE5" i="25"/>
  <c r="BJ5" i="25" s="1"/>
  <c r="BZ55" i="25"/>
  <c r="CA55" i="25" s="1"/>
  <c r="BZ61" i="25"/>
  <c r="F66" i="19"/>
  <c r="J9" i="8"/>
  <c r="BX92" i="25" l="1"/>
  <c r="BZ92" i="25" s="1"/>
  <c r="CA92" i="25" s="1"/>
  <c r="CA205" i="25"/>
  <c r="CE205" i="25"/>
  <c r="CA201" i="25"/>
  <c r="CE201" i="25"/>
  <c r="BX80" i="25"/>
  <c r="BZ80" i="25" s="1"/>
  <c r="CA80" i="25" s="1"/>
  <c r="BW17" i="25"/>
  <c r="BX21" i="25"/>
  <c r="BZ21" i="25" s="1"/>
  <c r="CA21" i="25" s="1"/>
  <c r="BW30" i="25"/>
  <c r="CA143" i="24"/>
  <c r="CE143" i="24"/>
  <c r="CA132" i="25"/>
  <c r="CE132" i="25"/>
  <c r="CA147" i="24"/>
  <c r="CE147" i="24"/>
  <c r="BW16" i="25"/>
  <c r="BW54" i="25"/>
  <c r="BW64" i="25"/>
  <c r="BW41" i="25"/>
  <c r="BX105" i="25"/>
  <c r="BZ105" i="25" s="1"/>
  <c r="BW96" i="25"/>
  <c r="BX19" i="25"/>
  <c r="BZ19" i="25" s="1"/>
  <c r="CA19" i="25" s="1"/>
  <c r="CA158" i="24"/>
  <c r="CE158" i="24"/>
  <c r="BW74" i="25"/>
  <c r="CA61" i="25"/>
  <c r="CE61" i="25"/>
  <c r="BW15" i="25"/>
  <c r="BW71" i="25"/>
  <c r="BW44" i="25"/>
  <c r="BW91" i="25"/>
  <c r="BX59" i="25"/>
  <c r="BZ59" i="25" s="1"/>
  <c r="CA59" i="25" s="1"/>
  <c r="BW100" i="25"/>
  <c r="BW18" i="25"/>
  <c r="BX35" i="25"/>
  <c r="BZ35" i="25" s="1"/>
  <c r="CA35" i="25" s="1"/>
  <c r="BW10" i="25"/>
  <c r="BX7" i="25"/>
  <c r="BZ7" i="25" s="1"/>
  <c r="CA7" i="25" s="1"/>
  <c r="BK5" i="25"/>
  <c r="CA197" i="25"/>
  <c r="CE197" i="25"/>
  <c r="BW37" i="25"/>
  <c r="BW46" i="25"/>
  <c r="BW22" i="25"/>
  <c r="BW79" i="25"/>
  <c r="BZ79" i="25"/>
  <c r="CA79" i="25" s="1"/>
  <c r="BW89" i="25"/>
  <c r="BW56" i="25"/>
  <c r="BZ56" i="25"/>
  <c r="CA56" i="25" s="1"/>
  <c r="BW66" i="25"/>
  <c r="BW68" i="25"/>
  <c r="BZ68" i="25"/>
  <c r="CA68" i="25" s="1"/>
  <c r="BW82" i="25"/>
  <c r="BW51" i="25"/>
  <c r="BZ51" i="25"/>
  <c r="CA51" i="25" s="1"/>
  <c r="BW67" i="25"/>
  <c r="BW93" i="25"/>
  <c r="BZ93" i="25"/>
  <c r="CA93" i="25" s="1"/>
  <c r="BW45" i="25"/>
  <c r="BZ45" i="25"/>
  <c r="CA45" i="25" s="1"/>
  <c r="BW81" i="25"/>
  <c r="BZ81" i="25"/>
  <c r="CA81" i="25" s="1"/>
  <c r="BW88" i="25"/>
  <c r="BZ88" i="25"/>
  <c r="CA88" i="25" s="1"/>
  <c r="BW48" i="25"/>
  <c r="BZ48" i="25"/>
  <c r="CA48" i="25" s="1"/>
  <c r="BW53" i="25"/>
  <c r="BZ53" i="25"/>
  <c r="CA53" i="25" s="1"/>
  <c r="BW75" i="25"/>
  <c r="BZ75" i="25"/>
  <c r="CA75" i="25" s="1"/>
  <c r="BW50" i="25"/>
  <c r="BZ50" i="25"/>
  <c r="CA50" i="25" s="1"/>
  <c r="BW47" i="25"/>
  <c r="BW31" i="25"/>
  <c r="BW36" i="25"/>
  <c r="BW24" i="25"/>
  <c r="BW13" i="25"/>
  <c r="BW77" i="25"/>
  <c r="BW39" i="25"/>
  <c r="BW26" i="25"/>
  <c r="BZ26" i="25"/>
  <c r="CA26" i="25" s="1"/>
  <c r="BW9" i="25"/>
  <c r="BZ9" i="25"/>
  <c r="CA9" i="25" s="1"/>
  <c r="BW12" i="25"/>
  <c r="BZ12" i="25"/>
  <c r="CA12" i="25" s="1"/>
  <c r="BW63" i="25"/>
  <c r="BZ63" i="25"/>
  <c r="CA63" i="25" s="1"/>
  <c r="BW84" i="25"/>
  <c r="BW69" i="25"/>
  <c r="BZ69" i="25"/>
  <c r="CA69" i="25" s="1"/>
  <c r="BW101" i="25"/>
  <c r="BW29" i="25"/>
  <c r="BZ29" i="25"/>
  <c r="CA29" i="25" s="1"/>
  <c r="BW104" i="25"/>
  <c r="BZ104" i="25"/>
  <c r="CA104" i="25" s="1"/>
  <c r="BW25" i="25"/>
  <c r="BZ25" i="25"/>
  <c r="CA25" i="25" s="1"/>
  <c r="BW87" i="25"/>
  <c r="BZ87" i="25"/>
  <c r="CA87" i="25" s="1"/>
  <c r="BW57" i="25"/>
  <c r="BZ57" i="25"/>
  <c r="CA57" i="25" s="1"/>
  <c r="BW72" i="25"/>
  <c r="BW95" i="25"/>
  <c r="BW94" i="25"/>
  <c r="BW8" i="25"/>
  <c r="BW97" i="25"/>
  <c r="BW14" i="25"/>
  <c r="BZ14" i="25"/>
  <c r="CA14" i="25" s="1"/>
  <c r="BW85" i="25"/>
  <c r="BW27" i="25"/>
  <c r="BZ27" i="25"/>
  <c r="CA27" i="25" s="1"/>
  <c r="BW70" i="25"/>
  <c r="BZ70" i="25"/>
  <c r="CA70" i="25" s="1"/>
  <c r="BW76" i="25"/>
  <c r="BZ76" i="25"/>
  <c r="CA76" i="25" s="1"/>
  <c r="BW78" i="25"/>
  <c r="BZ78" i="25"/>
  <c r="CA78" i="25" s="1"/>
  <c r="CA202" i="25"/>
  <c r="CE202" i="25"/>
  <c r="BZ84" i="25"/>
  <c r="CA84" i="25" s="1"/>
  <c r="BZ67" i="25"/>
  <c r="CA67" i="25" s="1"/>
  <c r="BZ101" i="25"/>
  <c r="CA101" i="25" s="1"/>
  <c r="BZ82" i="25"/>
  <c r="CA82" i="25" s="1"/>
  <c r="BZ66" i="25"/>
  <c r="CA66" i="25" s="1"/>
  <c r="BZ89" i="25"/>
  <c r="CA89" i="25" s="1"/>
  <c r="BZ72" i="25"/>
  <c r="CA72" i="25" s="1"/>
  <c r="BZ85" i="25"/>
  <c r="CA85" i="25" s="1"/>
  <c r="BZ97" i="25"/>
  <c r="CA97" i="25" s="1"/>
  <c r="BZ94" i="25"/>
  <c r="CA94" i="25" s="1"/>
  <c r="BZ95" i="25"/>
  <c r="CA95" i="25" s="1"/>
  <c r="BX165" i="24"/>
  <c r="BZ165" i="24" s="1"/>
  <c r="CA165" i="24" s="1"/>
  <c r="CE78" i="25"/>
  <c r="BU5" i="25"/>
  <c r="BW5" i="25" s="1"/>
  <c r="CA163" i="25"/>
  <c r="CE163" i="25"/>
  <c r="BX35" i="24"/>
  <c r="BZ35" i="24" s="1"/>
  <c r="CA35" i="24" s="1"/>
  <c r="BW35" i="24"/>
  <c r="BX51" i="24"/>
  <c r="BZ51" i="24" s="1"/>
  <c r="CA51" i="24" s="1"/>
  <c r="BW51" i="24"/>
  <c r="BX40" i="24"/>
  <c r="BZ40" i="24" s="1"/>
  <c r="CA40" i="24" s="1"/>
  <c r="BW40" i="24"/>
  <c r="BX81" i="24"/>
  <c r="BZ81" i="24" s="1"/>
  <c r="CA81" i="24" s="1"/>
  <c r="BW81" i="24"/>
  <c r="BX29" i="24"/>
  <c r="BZ29" i="24" s="1"/>
  <c r="CA29" i="24" s="1"/>
  <c r="BW29" i="24"/>
  <c r="BX43" i="24"/>
  <c r="BZ43" i="24" s="1"/>
  <c r="CA43" i="24" s="1"/>
  <c r="BW43" i="24"/>
  <c r="BX73" i="24"/>
  <c r="BZ73" i="24" s="1"/>
  <c r="CA73" i="24" s="1"/>
  <c r="BW73" i="24"/>
  <c r="BZ24" i="25"/>
  <c r="CA24" i="25" s="1"/>
  <c r="BZ13" i="25"/>
  <c r="CA13" i="25" s="1"/>
  <c r="BZ36" i="25"/>
  <c r="CA36" i="25" s="1"/>
  <c r="BZ8" i="25"/>
  <c r="CA8" i="25" s="1"/>
  <c r="BZ77" i="25"/>
  <c r="CA77" i="25" s="1"/>
  <c r="BZ39" i="25"/>
  <c r="CA39" i="25" s="1"/>
  <c r="BZ47" i="25"/>
  <c r="CA47" i="25" s="1"/>
  <c r="BZ31" i="25"/>
  <c r="CA31" i="25" s="1"/>
  <c r="BX74" i="24"/>
  <c r="BZ74" i="24" s="1"/>
  <c r="CA74" i="24" s="1"/>
  <c r="BX95" i="24"/>
  <c r="BZ95" i="24" s="1"/>
  <c r="CA95" i="24" s="1"/>
  <c r="BX92" i="24"/>
  <c r="BZ92" i="24" s="1"/>
  <c r="CA92" i="24" s="1"/>
  <c r="BX104" i="24"/>
  <c r="BZ104" i="24" s="1"/>
  <c r="CA104" i="24" s="1"/>
  <c r="BX91" i="24"/>
  <c r="BZ91" i="24" s="1"/>
  <c r="CA91" i="24" s="1"/>
  <c r="BX87" i="24"/>
  <c r="BZ87" i="24" s="1"/>
  <c r="CA87" i="24" s="1"/>
  <c r="BX22" i="24"/>
  <c r="BZ22" i="24" s="1"/>
  <c r="CA22" i="24" s="1"/>
  <c r="BX41" i="24"/>
  <c r="BZ41" i="24" s="1"/>
  <c r="CA41" i="24" s="1"/>
  <c r="BX36" i="24"/>
  <c r="BZ36" i="24" s="1"/>
  <c r="CA36" i="24" s="1"/>
  <c r="BX89" i="24"/>
  <c r="BZ89" i="24" s="1"/>
  <c r="CA89" i="24" s="1"/>
  <c r="BX34" i="24"/>
  <c r="BZ34" i="24" s="1"/>
  <c r="CA34" i="24" s="1"/>
  <c r="BX21" i="24"/>
  <c r="BZ21" i="24" s="1"/>
  <c r="CA21" i="24" s="1"/>
  <c r="BX78" i="24"/>
  <c r="BZ78" i="24" s="1"/>
  <c r="CA78" i="24" s="1"/>
  <c r="BX85" i="24"/>
  <c r="BZ85" i="24" s="1"/>
  <c r="CA85" i="24" s="1"/>
  <c r="BX105" i="24"/>
  <c r="BZ105" i="24" s="1"/>
  <c r="CA105" i="24" s="1"/>
  <c r="BX82" i="24"/>
  <c r="BZ82" i="24" s="1"/>
  <c r="CA82" i="24" s="1"/>
  <c r="BX54" i="24"/>
  <c r="BZ54" i="24" s="1"/>
  <c r="CA54" i="24" s="1"/>
  <c r="BX59" i="24"/>
  <c r="BZ59" i="24" s="1"/>
  <c r="CA59" i="24" s="1"/>
  <c r="BX79" i="24"/>
  <c r="BZ79" i="24" s="1"/>
  <c r="CA79" i="24" s="1"/>
  <c r="BX96" i="24"/>
  <c r="BZ96" i="24" s="1"/>
  <c r="CA96" i="24" s="1"/>
  <c r="BX14" i="24"/>
  <c r="BZ14" i="24" s="1"/>
  <c r="CA14" i="24" s="1"/>
  <c r="BX68" i="24"/>
  <c r="BZ68" i="24" s="1"/>
  <c r="CA68" i="24" s="1"/>
  <c r="CA198" i="25"/>
  <c r="CE198" i="25"/>
  <c r="CA205" i="24"/>
  <c r="CE205" i="24"/>
  <c r="CA189" i="25"/>
  <c r="CE189" i="25"/>
  <c r="CA194" i="25"/>
  <c r="CE194" i="25"/>
  <c r="BU97" i="24"/>
  <c r="BW97" i="24" s="1"/>
  <c r="BU88" i="24"/>
  <c r="BW88" i="24" s="1"/>
  <c r="BU27" i="24"/>
  <c r="BW27" i="24" s="1"/>
  <c r="BU86" i="24"/>
  <c r="BW86" i="24" s="1"/>
  <c r="BU65" i="24"/>
  <c r="BW65" i="24" s="1"/>
  <c r="BU64" i="24"/>
  <c r="BW64" i="24" s="1"/>
  <c r="BU33" i="24"/>
  <c r="BW33" i="24" s="1"/>
  <c r="BU23" i="24"/>
  <c r="BW23" i="24" s="1"/>
  <c r="BU49" i="24"/>
  <c r="BW49" i="24" s="1"/>
  <c r="CA152" i="24"/>
  <c r="CE152" i="24"/>
  <c r="CE94" i="25"/>
  <c r="CA157" i="25"/>
  <c r="CE157" i="25"/>
  <c r="CA147" i="25"/>
  <c r="CE147" i="25"/>
  <c r="CA91" i="25"/>
  <c r="CE91" i="25"/>
  <c r="CA182" i="25"/>
  <c r="CE182" i="25"/>
  <c r="CA168" i="25"/>
  <c r="CE168" i="25"/>
  <c r="CA191" i="25"/>
  <c r="CE191" i="25"/>
  <c r="CA186" i="25"/>
  <c r="CE186" i="25"/>
  <c r="CA162" i="25"/>
  <c r="CE162" i="25"/>
  <c r="CA172" i="25"/>
  <c r="CE172" i="25"/>
  <c r="CA197" i="24"/>
  <c r="CE197" i="24"/>
  <c r="CA154" i="25"/>
  <c r="CE154" i="25"/>
  <c r="CE93" i="25"/>
  <c r="CA193" i="25"/>
  <c r="CE193" i="25"/>
  <c r="CA192" i="25"/>
  <c r="CE192" i="25"/>
  <c r="CA183" i="25"/>
  <c r="CE183" i="25"/>
  <c r="CE84" i="25"/>
  <c r="CA158" i="25"/>
  <c r="CE158" i="25"/>
  <c r="CE56" i="25"/>
  <c r="CE68" i="25"/>
  <c r="CA183" i="24"/>
  <c r="CE183" i="24"/>
  <c r="CA151" i="25"/>
  <c r="CE151" i="25"/>
  <c r="CA200" i="25"/>
  <c r="CE200" i="25"/>
  <c r="CE82" i="25"/>
  <c r="CA199" i="25"/>
  <c r="CE199" i="25"/>
  <c r="CE45" i="25"/>
  <c r="CA146" i="24"/>
  <c r="CE146" i="24"/>
  <c r="CA195" i="25"/>
  <c r="CE195" i="25"/>
  <c r="CA149" i="25"/>
  <c r="CE149" i="25"/>
  <c r="CA136" i="25"/>
  <c r="CE136" i="25"/>
  <c r="CA32" i="25"/>
  <c r="CE32" i="25"/>
  <c r="CA129" i="25"/>
  <c r="CE129" i="25"/>
  <c r="CE25" i="25"/>
  <c r="CE31" i="25"/>
  <c r="CE89" i="24"/>
  <c r="CA52" i="25"/>
  <c r="CE52" i="25"/>
  <c r="CA60" i="25"/>
  <c r="CE60" i="25"/>
  <c r="CA151" i="24"/>
  <c r="CE151" i="24"/>
  <c r="CA60" i="24"/>
  <c r="CE60" i="24"/>
  <c r="CA145" i="25"/>
  <c r="CE145" i="25"/>
  <c r="CA171" i="25"/>
  <c r="CE171" i="25"/>
  <c r="CA175" i="24"/>
  <c r="CE175" i="24"/>
  <c r="CA159" i="25"/>
  <c r="CE159" i="25"/>
  <c r="CE87" i="24"/>
  <c r="CA157" i="24"/>
  <c r="CE157" i="24"/>
  <c r="CE70" i="25"/>
  <c r="CA150" i="25"/>
  <c r="CE150" i="25"/>
  <c r="CA70" i="24"/>
  <c r="CE70" i="24"/>
  <c r="CA83" i="25"/>
  <c r="CE83" i="25"/>
  <c r="CA46" i="25"/>
  <c r="CE46" i="25"/>
  <c r="CA148" i="25"/>
  <c r="CE148" i="25"/>
  <c r="CA142" i="25"/>
  <c r="CE142" i="25"/>
  <c r="CA40" i="25"/>
  <c r="CE40" i="25"/>
  <c r="CE68" i="24"/>
  <c r="CA65" i="25"/>
  <c r="CE65" i="25"/>
  <c r="CA165" i="25"/>
  <c r="CE165" i="25"/>
  <c r="CE87" i="25"/>
  <c r="CA188" i="25"/>
  <c r="CE188" i="25"/>
  <c r="CA180" i="25"/>
  <c r="CE180" i="25"/>
  <c r="CA187" i="25"/>
  <c r="CE187" i="25"/>
  <c r="CA121" i="25"/>
  <c r="CE121" i="25"/>
  <c r="CA20" i="25"/>
  <c r="CE20" i="25"/>
  <c r="CA122" i="24"/>
  <c r="CE122" i="24"/>
  <c r="CE54" i="24"/>
  <c r="CA54" i="25"/>
  <c r="CE54" i="25"/>
  <c r="CE63" i="25"/>
  <c r="CA143" i="25"/>
  <c r="CE143" i="25"/>
  <c r="CA105" i="25"/>
  <c r="CE105" i="25"/>
  <c r="CE105" i="24"/>
  <c r="CA161" i="25"/>
  <c r="CE161" i="25"/>
  <c r="CA185" i="24"/>
  <c r="CE185" i="24"/>
  <c r="CA178" i="25"/>
  <c r="CE178" i="25"/>
  <c r="CA184" i="25"/>
  <c r="CE184" i="25"/>
  <c r="CA167" i="25"/>
  <c r="CE167" i="25"/>
  <c r="CA176" i="25"/>
  <c r="CE176" i="25"/>
  <c r="CA179" i="25"/>
  <c r="CE179" i="25"/>
  <c r="CE89" i="25"/>
  <c r="CA204" i="24"/>
  <c r="CE204" i="24"/>
  <c r="CA98" i="25"/>
  <c r="CE98" i="25"/>
  <c r="CA177" i="25"/>
  <c r="CE177" i="25"/>
  <c r="CA203" i="25"/>
  <c r="CE203" i="25"/>
  <c r="CA166" i="25"/>
  <c r="CE166" i="25"/>
  <c r="CA179" i="24"/>
  <c r="CE179" i="24"/>
  <c r="CA74" i="25"/>
  <c r="CE74" i="25"/>
  <c r="CA146" i="25"/>
  <c r="CE146" i="25"/>
  <c r="CA154" i="24"/>
  <c r="CE154" i="24"/>
  <c r="CE74" i="24"/>
  <c r="CA164" i="25"/>
  <c r="CE164" i="25"/>
  <c r="CA190" i="24"/>
  <c r="CE190" i="24"/>
  <c r="CA170" i="25"/>
  <c r="CE170" i="25"/>
  <c r="BX167" i="24"/>
  <c r="BZ167" i="24" s="1"/>
  <c r="CA139" i="24"/>
  <c r="CE139" i="24"/>
  <c r="CA50" i="24"/>
  <c r="CE50" i="24"/>
  <c r="CA44" i="25"/>
  <c r="CE44" i="25"/>
  <c r="CA135" i="25"/>
  <c r="CE135" i="25"/>
  <c r="CE47" i="25"/>
  <c r="CE67" i="25"/>
  <c r="CA160" i="24"/>
  <c r="CE160" i="24"/>
  <c r="CA144" i="25"/>
  <c r="CE144" i="25"/>
  <c r="CA174" i="25"/>
  <c r="CE174" i="25"/>
  <c r="CA103" i="25"/>
  <c r="CE103" i="25"/>
  <c r="CA207" i="24"/>
  <c r="CE207" i="24"/>
  <c r="CA206" i="25"/>
  <c r="CE206" i="25"/>
  <c r="CA173" i="25"/>
  <c r="CE173" i="25"/>
  <c r="CA102" i="25"/>
  <c r="CE102" i="25"/>
  <c r="CA63" i="24"/>
  <c r="BX115" i="24"/>
  <c r="BZ115" i="24" s="1"/>
  <c r="CA115" i="24" s="1"/>
  <c r="CA150" i="24"/>
  <c r="CE150" i="24"/>
  <c r="BX110" i="25"/>
  <c r="BZ110" i="25" s="1"/>
  <c r="CA110" i="25" s="1"/>
  <c r="BK110" i="25"/>
  <c r="BM119" i="24"/>
  <c r="BX119" i="24"/>
  <c r="BZ119" i="24" s="1"/>
  <c r="CA119" i="24" s="1"/>
  <c r="BX168" i="24"/>
  <c r="BZ168" i="24" s="1"/>
  <c r="BM168" i="24"/>
  <c r="BX156" i="24"/>
  <c r="BZ156" i="24" s="1"/>
  <c r="CA156" i="24" s="1"/>
  <c r="BM156" i="24"/>
  <c r="BM195" i="24"/>
  <c r="BX195" i="24"/>
  <c r="BZ195" i="24" s="1"/>
  <c r="BM155" i="24"/>
  <c r="BX155" i="24"/>
  <c r="BZ155" i="24" s="1"/>
  <c r="CA155" i="24" s="1"/>
  <c r="BX181" i="24"/>
  <c r="BZ181" i="24" s="1"/>
  <c r="CA181" i="24" s="1"/>
  <c r="BW181" i="24"/>
  <c r="BX176" i="24"/>
  <c r="BZ176" i="24" s="1"/>
  <c r="BM176" i="24"/>
  <c r="BX206" i="24"/>
  <c r="BZ206" i="24" s="1"/>
  <c r="CA206" i="24" s="1"/>
  <c r="BM206" i="24"/>
  <c r="BX210" i="24"/>
  <c r="BZ210" i="24" s="1"/>
  <c r="BM210" i="24"/>
  <c r="BX130" i="24"/>
  <c r="BZ130" i="24" s="1"/>
  <c r="CA130" i="24" s="1"/>
  <c r="BM130" i="24"/>
  <c r="BX192" i="24"/>
  <c r="BZ192" i="24" s="1"/>
  <c r="BM192" i="24"/>
  <c r="BX189" i="24"/>
  <c r="BZ189" i="24" s="1"/>
  <c r="CA189" i="24" s="1"/>
  <c r="BW189" i="24"/>
  <c r="BX194" i="24"/>
  <c r="BZ194" i="24" s="1"/>
  <c r="BM194" i="24"/>
  <c r="BX136" i="24"/>
  <c r="BZ136" i="24" s="1"/>
  <c r="CA136" i="24" s="1"/>
  <c r="BM136" i="24"/>
  <c r="BM159" i="24"/>
  <c r="BX159" i="24"/>
  <c r="BZ159" i="24" s="1"/>
  <c r="CA159" i="24" s="1"/>
  <c r="BM203" i="24"/>
  <c r="BX203" i="24"/>
  <c r="BZ203" i="24" s="1"/>
  <c r="BX141" i="24"/>
  <c r="BZ141" i="24" s="1"/>
  <c r="CA141" i="24" s="1"/>
  <c r="BM141" i="24"/>
  <c r="BX188" i="24"/>
  <c r="BZ188" i="24" s="1"/>
  <c r="CA188" i="24" s="1"/>
  <c r="BM188" i="24"/>
  <c r="BX193" i="24"/>
  <c r="BZ193" i="24" s="1"/>
  <c r="CA193" i="24" s="1"/>
  <c r="BM193" i="24"/>
  <c r="BX149" i="24"/>
  <c r="BZ149" i="24" s="1"/>
  <c r="BM149" i="24"/>
  <c r="BX169" i="24"/>
  <c r="BZ169" i="24" s="1"/>
  <c r="BM169" i="24"/>
  <c r="BX161" i="24"/>
  <c r="BZ161" i="24" s="1"/>
  <c r="CA161" i="24" s="1"/>
  <c r="BM161" i="24"/>
  <c r="BM123" i="24"/>
  <c r="BX123" i="24"/>
  <c r="BZ123" i="24" s="1"/>
  <c r="CA123" i="24" s="1"/>
  <c r="BX110" i="24"/>
  <c r="BZ110" i="24" s="1"/>
  <c r="CA110" i="24" s="1"/>
  <c r="BM110" i="24"/>
  <c r="BX112" i="24"/>
  <c r="BZ112" i="24" s="1"/>
  <c r="CA112" i="24" s="1"/>
  <c r="BM112" i="24"/>
  <c r="BX172" i="24"/>
  <c r="BZ172" i="24" s="1"/>
  <c r="BM172" i="24"/>
  <c r="BM191" i="24"/>
  <c r="BX191" i="24"/>
  <c r="BZ191" i="24" s="1"/>
  <c r="BX134" i="24"/>
  <c r="BZ134" i="24" s="1"/>
  <c r="CA134" i="24" s="1"/>
  <c r="BM134" i="24"/>
  <c r="BX209" i="24"/>
  <c r="BZ209" i="24" s="1"/>
  <c r="BM209" i="24"/>
  <c r="BX182" i="24"/>
  <c r="BZ182" i="24" s="1"/>
  <c r="CA182" i="24" s="1"/>
  <c r="BW182" i="24"/>
  <c r="BX114" i="24"/>
  <c r="BZ114" i="24" s="1"/>
  <c r="CA114" i="24" s="1"/>
  <c r="BM114" i="24"/>
  <c r="BM199" i="24"/>
  <c r="BX199" i="24"/>
  <c r="BZ199" i="24" s="1"/>
  <c r="BX208" i="24"/>
  <c r="BZ208" i="24" s="1"/>
  <c r="CA208" i="24" s="1"/>
  <c r="BM208" i="24"/>
  <c r="BG71" i="24"/>
  <c r="BL71" i="24" s="1"/>
  <c r="BM71" i="24" s="1"/>
  <c r="BR71" i="24"/>
  <c r="BG13" i="24"/>
  <c r="BL13" i="24" s="1"/>
  <c r="BM13" i="24" s="1"/>
  <c r="BR13" i="24"/>
  <c r="BG15" i="24"/>
  <c r="BL15" i="24" s="1"/>
  <c r="BM15" i="24" s="1"/>
  <c r="BR15" i="24"/>
  <c r="BG102" i="24"/>
  <c r="BL102" i="24" s="1"/>
  <c r="BM102" i="24" s="1"/>
  <c r="BR102" i="24"/>
  <c r="BG48" i="24"/>
  <c r="BL48" i="24" s="1"/>
  <c r="BM48" i="24" s="1"/>
  <c r="BR48" i="24"/>
  <c r="BG93" i="24"/>
  <c r="BL93" i="24" s="1"/>
  <c r="BM93" i="24" s="1"/>
  <c r="BR93" i="24"/>
  <c r="BR37" i="24"/>
  <c r="BG37" i="24"/>
  <c r="BL37" i="24" s="1"/>
  <c r="BM37" i="24" s="1"/>
  <c r="BG8" i="24"/>
  <c r="BL8" i="24" s="1"/>
  <c r="BM8" i="24" s="1"/>
  <c r="BR8" i="24"/>
  <c r="BG94" i="24"/>
  <c r="BL94" i="24" s="1"/>
  <c r="BM94" i="24" s="1"/>
  <c r="BR94" i="24"/>
  <c r="BG16" i="24"/>
  <c r="BL16" i="24" s="1"/>
  <c r="BM16" i="24" s="1"/>
  <c r="BR16" i="24"/>
  <c r="BG45" i="24"/>
  <c r="BL45" i="24" s="1"/>
  <c r="BM45" i="24" s="1"/>
  <c r="BR45" i="24"/>
  <c r="BG30" i="24"/>
  <c r="BL30" i="24" s="1"/>
  <c r="BM30" i="24" s="1"/>
  <c r="BR30" i="24"/>
  <c r="BG61" i="24"/>
  <c r="BL61" i="24" s="1"/>
  <c r="BM61" i="24" s="1"/>
  <c r="BR61" i="24"/>
  <c r="BG76" i="24"/>
  <c r="BL76" i="24" s="1"/>
  <c r="BM76" i="24" s="1"/>
  <c r="BR76" i="24"/>
  <c r="BG103" i="24"/>
  <c r="BL103" i="24" s="1"/>
  <c r="BM103" i="24" s="1"/>
  <c r="BR103" i="24"/>
  <c r="BR98" i="24"/>
  <c r="BG98" i="24"/>
  <c r="BL98" i="24" s="1"/>
  <c r="BM98" i="24" s="1"/>
  <c r="BG99" i="24"/>
  <c r="BL99" i="24" s="1"/>
  <c r="BM99" i="24" s="1"/>
  <c r="BR99" i="24"/>
  <c r="BG17" i="24"/>
  <c r="BL17" i="24" s="1"/>
  <c r="BM17" i="24" s="1"/>
  <c r="BR17" i="24"/>
  <c r="BG47" i="24"/>
  <c r="BL47" i="24" s="1"/>
  <c r="BM47" i="24" s="1"/>
  <c r="BR47" i="24"/>
  <c r="BG9" i="24"/>
  <c r="BL9" i="24" s="1"/>
  <c r="BM9" i="24" s="1"/>
  <c r="BR9" i="24"/>
  <c r="BG12" i="24"/>
  <c r="BL12" i="24" s="1"/>
  <c r="BM12" i="24" s="1"/>
  <c r="BR12" i="24"/>
  <c r="BR44" i="24"/>
  <c r="BG44" i="24"/>
  <c r="BL44" i="24" s="1"/>
  <c r="BM44" i="24" s="1"/>
  <c r="BG24" i="24"/>
  <c r="BL24" i="24" s="1"/>
  <c r="BM24" i="24" s="1"/>
  <c r="BR24" i="24"/>
  <c r="BG77" i="24"/>
  <c r="BL77" i="24" s="1"/>
  <c r="BM77" i="24" s="1"/>
  <c r="BR77" i="24"/>
  <c r="BR38" i="24"/>
  <c r="BG38" i="24"/>
  <c r="BL38" i="24" s="1"/>
  <c r="BM38" i="24" s="1"/>
  <c r="BR66" i="24"/>
  <c r="BG66" i="24"/>
  <c r="BL66" i="24" s="1"/>
  <c r="BM66" i="24" s="1"/>
  <c r="BG57" i="24"/>
  <c r="BL57" i="24" s="1"/>
  <c r="BM57" i="24" s="1"/>
  <c r="BR57" i="24"/>
  <c r="BG62" i="24"/>
  <c r="BL62" i="24" s="1"/>
  <c r="BM62" i="24" s="1"/>
  <c r="BR62" i="24"/>
  <c r="BR58" i="24"/>
  <c r="BG58" i="24"/>
  <c r="BL58" i="24" s="1"/>
  <c r="BM58" i="24" s="1"/>
  <c r="BG80" i="24"/>
  <c r="BL80" i="24" s="1"/>
  <c r="BM80" i="24" s="1"/>
  <c r="BR80" i="24"/>
  <c r="BR20" i="24"/>
  <c r="BG20" i="24"/>
  <c r="BL20" i="24" s="1"/>
  <c r="BM20" i="24" s="1"/>
  <c r="BG26" i="24"/>
  <c r="BL26" i="24" s="1"/>
  <c r="BM26" i="24" s="1"/>
  <c r="BR26" i="24"/>
  <c r="BG11" i="24"/>
  <c r="BL11" i="24" s="1"/>
  <c r="BM11" i="24" s="1"/>
  <c r="BR11" i="24"/>
  <c r="BG39" i="24"/>
  <c r="BL39" i="24" s="1"/>
  <c r="BM39" i="24" s="1"/>
  <c r="BR39" i="24"/>
  <c r="BG84" i="24"/>
  <c r="BL84" i="24" s="1"/>
  <c r="BM84" i="24" s="1"/>
  <c r="BR84" i="24"/>
  <c r="BG67" i="24"/>
  <c r="BL67" i="24" s="1"/>
  <c r="BM67" i="24" s="1"/>
  <c r="BR67" i="24"/>
  <c r="BG75" i="24"/>
  <c r="BL75" i="24" s="1"/>
  <c r="BM75" i="24" s="1"/>
  <c r="BR75" i="24"/>
  <c r="BG52" i="24"/>
  <c r="BL52" i="24" s="1"/>
  <c r="BM52" i="24" s="1"/>
  <c r="BR52" i="24"/>
  <c r="BR90" i="24"/>
  <c r="BG90" i="24"/>
  <c r="BL90" i="24" s="1"/>
  <c r="BM90" i="24" s="1"/>
  <c r="BG6" i="24"/>
  <c r="BL6" i="24" s="1"/>
  <c r="BM6" i="24" s="1"/>
  <c r="BR6" i="24"/>
  <c r="BG7" i="24"/>
  <c r="BL7" i="24" s="1"/>
  <c r="BM7" i="24" s="1"/>
  <c r="BR7" i="24"/>
  <c r="B167" i="2"/>
  <c r="C44" i="16" s="1"/>
  <c r="BX5" i="25" l="1"/>
  <c r="BZ5" i="25" s="1"/>
  <c r="CA5" i="25" s="1"/>
  <c r="BX49" i="24"/>
  <c r="BZ49" i="24" s="1"/>
  <c r="CA49" i="24" s="1"/>
  <c r="BX33" i="24"/>
  <c r="BZ33" i="24" s="1"/>
  <c r="CA33" i="24" s="1"/>
  <c r="BX65" i="24"/>
  <c r="BZ65" i="24" s="1"/>
  <c r="CA65" i="24" s="1"/>
  <c r="BX27" i="24"/>
  <c r="BZ27" i="24" s="1"/>
  <c r="CA27" i="24" s="1"/>
  <c r="BX86" i="24"/>
  <c r="BZ86" i="24" s="1"/>
  <c r="CA86" i="24" s="1"/>
  <c r="BX23" i="24"/>
  <c r="BZ23" i="24" s="1"/>
  <c r="CA23" i="24" s="1"/>
  <c r="BX64" i="24"/>
  <c r="BZ64" i="24" s="1"/>
  <c r="CA64" i="24" s="1"/>
  <c r="BX88" i="24"/>
  <c r="BZ88" i="24" s="1"/>
  <c r="CA88" i="24" s="1"/>
  <c r="BX97" i="24"/>
  <c r="BZ97" i="24" s="1"/>
  <c r="CA97" i="24" s="1"/>
  <c r="BU7" i="24"/>
  <c r="BW7" i="24" s="1"/>
  <c r="BU75" i="24"/>
  <c r="BW75" i="24" s="1"/>
  <c r="BU84" i="24"/>
  <c r="BW84" i="24" s="1"/>
  <c r="BU11" i="24"/>
  <c r="BW11" i="24" s="1"/>
  <c r="BU57" i="24"/>
  <c r="BW57" i="24" s="1"/>
  <c r="BU24" i="24"/>
  <c r="BW24" i="24" s="1"/>
  <c r="BU12" i="24"/>
  <c r="BW12" i="24" s="1"/>
  <c r="BU47" i="24"/>
  <c r="BW47" i="24" s="1"/>
  <c r="BU99" i="24"/>
  <c r="BW99" i="24" s="1"/>
  <c r="BU103" i="24"/>
  <c r="BW103" i="24" s="1"/>
  <c r="BU61" i="24"/>
  <c r="BW61" i="24" s="1"/>
  <c r="BU45" i="24"/>
  <c r="BW45" i="24" s="1"/>
  <c r="BU94" i="24"/>
  <c r="BW94" i="24" s="1"/>
  <c r="BU48" i="24"/>
  <c r="BW48" i="24" s="1"/>
  <c r="BU15" i="24"/>
  <c r="BW15" i="24" s="1"/>
  <c r="BU71" i="24"/>
  <c r="BW71" i="24" s="1"/>
  <c r="BU44" i="24"/>
  <c r="BU98" i="24"/>
  <c r="BW98" i="24" s="1"/>
  <c r="BU20" i="24"/>
  <c r="BW20" i="24" s="1"/>
  <c r="BU58" i="24"/>
  <c r="BW58" i="24" s="1"/>
  <c r="BU38" i="24"/>
  <c r="BW38" i="24" s="1"/>
  <c r="BU37" i="24"/>
  <c r="BW37" i="24" s="1"/>
  <c r="BU66" i="24"/>
  <c r="BW66" i="24" s="1"/>
  <c r="BU90" i="24"/>
  <c r="BW90" i="24" s="1"/>
  <c r="BU6" i="24"/>
  <c r="BW6" i="24" s="1"/>
  <c r="BU52" i="24"/>
  <c r="BW52" i="24" s="1"/>
  <c r="BU67" i="24"/>
  <c r="BW67" i="24" s="1"/>
  <c r="BU39" i="24"/>
  <c r="BW39" i="24" s="1"/>
  <c r="BU26" i="24"/>
  <c r="BW26" i="24" s="1"/>
  <c r="BU80" i="24"/>
  <c r="BW80" i="24" s="1"/>
  <c r="BU62" i="24"/>
  <c r="BW62" i="24" s="1"/>
  <c r="BU77" i="24"/>
  <c r="BW77" i="24" s="1"/>
  <c r="BU9" i="24"/>
  <c r="BW9" i="24" s="1"/>
  <c r="BU17" i="24"/>
  <c r="BW17" i="24" s="1"/>
  <c r="BU76" i="24"/>
  <c r="BW76" i="24" s="1"/>
  <c r="BU30" i="24"/>
  <c r="BW30" i="24" s="1"/>
  <c r="BU16" i="24"/>
  <c r="BW16" i="24" s="1"/>
  <c r="BU8" i="24"/>
  <c r="BW8" i="24" s="1"/>
  <c r="BU93" i="24"/>
  <c r="BW93" i="24" s="1"/>
  <c r="BU102" i="24"/>
  <c r="BW102" i="24" s="1"/>
  <c r="BU13" i="24"/>
  <c r="BW13" i="24" s="1"/>
  <c r="CA167" i="24"/>
  <c r="CE167" i="24"/>
  <c r="CA172" i="24"/>
  <c r="CE172" i="24"/>
  <c r="CA176" i="24"/>
  <c r="CE176" i="24"/>
  <c r="CA195" i="24"/>
  <c r="CE195" i="24"/>
  <c r="CA191" i="24"/>
  <c r="CE191" i="24"/>
  <c r="CA203" i="24"/>
  <c r="CE203" i="24"/>
  <c r="CA192" i="24"/>
  <c r="CE192" i="24"/>
  <c r="CA169" i="24"/>
  <c r="CE169" i="24"/>
  <c r="B254" i="2"/>
  <c r="CA149" i="24"/>
  <c r="CE149" i="24"/>
  <c r="CA210" i="24"/>
  <c r="CE210" i="24"/>
  <c r="CA194" i="24"/>
  <c r="CE194" i="24"/>
  <c r="CA209" i="24"/>
  <c r="CE209" i="24"/>
  <c r="CA199" i="24"/>
  <c r="CE199" i="24"/>
  <c r="CE211" i="25"/>
  <c r="CA168" i="24"/>
  <c r="CE168" i="24"/>
  <c r="B233" i="2"/>
  <c r="D44" i="16" s="1"/>
  <c r="E33" i="1"/>
  <c r="A233" i="2"/>
  <c r="BX44" i="24" l="1"/>
  <c r="BZ44" i="24" s="1"/>
  <c r="CA44" i="24" s="1"/>
  <c r="BW44" i="24"/>
  <c r="BX76" i="24"/>
  <c r="BZ76" i="24" s="1"/>
  <c r="CA76" i="24" s="1"/>
  <c r="BX9" i="24"/>
  <c r="BZ9" i="24" s="1"/>
  <c r="CA9" i="24" s="1"/>
  <c r="BX62" i="24"/>
  <c r="BZ62" i="24" s="1"/>
  <c r="CA62" i="24" s="1"/>
  <c r="BX26" i="24"/>
  <c r="BZ26" i="24" s="1"/>
  <c r="CA26" i="24" s="1"/>
  <c r="BX67" i="24"/>
  <c r="BZ67" i="24" s="1"/>
  <c r="CA67" i="24" s="1"/>
  <c r="BX6" i="24"/>
  <c r="BZ6" i="24" s="1"/>
  <c r="CA6" i="24" s="1"/>
  <c r="BX66" i="24"/>
  <c r="BZ66" i="24" s="1"/>
  <c r="CA66" i="24" s="1"/>
  <c r="BX38" i="24"/>
  <c r="BZ38" i="24" s="1"/>
  <c r="CA38" i="24" s="1"/>
  <c r="BX20" i="24"/>
  <c r="BZ20" i="24" s="1"/>
  <c r="CA20" i="24" s="1"/>
  <c r="BX61" i="24"/>
  <c r="BZ61" i="24" s="1"/>
  <c r="BX99" i="24"/>
  <c r="BZ99" i="24" s="1"/>
  <c r="CA99" i="24" s="1"/>
  <c r="BX12" i="24"/>
  <c r="BZ12" i="24" s="1"/>
  <c r="CA12" i="24" s="1"/>
  <c r="BX57" i="24"/>
  <c r="BZ57" i="24" s="1"/>
  <c r="CA57" i="24" s="1"/>
  <c r="BX84" i="24"/>
  <c r="BZ84" i="24" s="1"/>
  <c r="BX7" i="24"/>
  <c r="BZ7" i="24" s="1"/>
  <c r="CA7" i="24" s="1"/>
  <c r="BX30" i="24"/>
  <c r="BZ30" i="24" s="1"/>
  <c r="CA30" i="24" s="1"/>
  <c r="BX17" i="24"/>
  <c r="BZ17" i="24" s="1"/>
  <c r="CA17" i="24" s="1"/>
  <c r="BX15" i="24"/>
  <c r="BZ15" i="24" s="1"/>
  <c r="CA15" i="24" s="1"/>
  <c r="B256" i="2" s="1"/>
  <c r="BX94" i="24"/>
  <c r="BZ94" i="24" s="1"/>
  <c r="CA94" i="24" s="1"/>
  <c r="BX8" i="24"/>
  <c r="BZ8" i="24" s="1"/>
  <c r="CA8" i="24" s="1"/>
  <c r="BX102" i="24"/>
  <c r="BZ102" i="24" s="1"/>
  <c r="CA102" i="24" s="1"/>
  <c r="BX77" i="24"/>
  <c r="BZ77" i="24" s="1"/>
  <c r="CA77" i="24" s="1"/>
  <c r="BX80" i="24"/>
  <c r="BZ80" i="24" s="1"/>
  <c r="CA80" i="24" s="1"/>
  <c r="BX90" i="24"/>
  <c r="BZ90" i="24" s="1"/>
  <c r="CA90" i="24" s="1"/>
  <c r="BX37" i="24"/>
  <c r="BZ37" i="24" s="1"/>
  <c r="CA37" i="24" s="1"/>
  <c r="BX58" i="24"/>
  <c r="BZ58" i="24" s="1"/>
  <c r="CA58" i="24" s="1"/>
  <c r="BX45" i="24"/>
  <c r="BZ45" i="24" s="1"/>
  <c r="BX24" i="24"/>
  <c r="BZ24" i="24" s="1"/>
  <c r="CA24" i="24" s="1"/>
  <c r="BX75" i="24"/>
  <c r="BZ75" i="24" s="1"/>
  <c r="CA75" i="24" s="1"/>
  <c r="BX13" i="24"/>
  <c r="BZ13" i="24" s="1"/>
  <c r="CA13" i="24" s="1"/>
  <c r="BX93" i="24"/>
  <c r="BZ93" i="24" s="1"/>
  <c r="CA93" i="24" s="1"/>
  <c r="BX16" i="24"/>
  <c r="BZ16" i="24" s="1"/>
  <c r="CA16" i="24" s="1"/>
  <c r="BX39" i="24"/>
  <c r="BZ39" i="24" s="1"/>
  <c r="CA39" i="24" s="1"/>
  <c r="BX52" i="24"/>
  <c r="BZ52" i="24" s="1"/>
  <c r="CA52" i="24" s="1"/>
  <c r="BX98" i="24"/>
  <c r="BZ98" i="24" s="1"/>
  <c r="CA98" i="24" s="1"/>
  <c r="BX71" i="24"/>
  <c r="BZ71" i="24" s="1"/>
  <c r="CA71" i="24" s="1"/>
  <c r="BX48" i="24"/>
  <c r="BZ48" i="24" s="1"/>
  <c r="CA48" i="24" s="1"/>
  <c r="BX103" i="24"/>
  <c r="BZ103" i="24" s="1"/>
  <c r="CA103" i="24" s="1"/>
  <c r="BX47" i="24"/>
  <c r="BZ47" i="24" s="1"/>
  <c r="CA47" i="24" s="1"/>
  <c r="BX11" i="24"/>
  <c r="BZ11" i="24" s="1"/>
  <c r="CA11" i="24" s="1"/>
  <c r="CE94" i="24"/>
  <c r="CE93" i="24"/>
  <c r="CE47" i="24"/>
  <c r="CE98" i="24"/>
  <c r="CE20" i="24"/>
  <c r="CF211" i="24"/>
  <c r="L15" i="1" s="1"/>
  <c r="CE67" i="24"/>
  <c r="CA61" i="24" l="1"/>
  <c r="CE61" i="24"/>
  <c r="CA84" i="24"/>
  <c r="CE84" i="24"/>
  <c r="CE45" i="24"/>
  <c r="CA4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Timothy Hegarty</author>
    <author>Hegarty, Timothy</author>
  </authors>
  <commentList>
    <comment ref="A3" authorId="0" shapeId="0" xr:uid="{00000000-0006-0000-0000-000001000000}">
      <text>
        <r>
          <rPr>
            <b/>
            <sz val="11"/>
            <color indexed="10"/>
            <rFont val="Tahoma"/>
            <family val="2"/>
          </rPr>
          <t>Welcome to the LM5180 Design Tool</t>
        </r>
        <r>
          <rPr>
            <sz val="9"/>
            <color indexed="81"/>
            <rFont val="Tahoma"/>
            <family val="2"/>
          </rPr>
          <t xml:space="preserve">
This stand-alone tool facilitates and assists the power supply engineer with design of an isolated DC/DC regulator based on the </t>
        </r>
        <r>
          <rPr>
            <b/>
            <sz val="9"/>
            <color indexed="81"/>
            <rFont val="Tahoma"/>
            <family val="2"/>
          </rPr>
          <t>LM5180 low I</t>
        </r>
        <r>
          <rPr>
            <b/>
            <vertAlign val="subscript"/>
            <sz val="9"/>
            <color indexed="81"/>
            <rFont val="Tahoma"/>
            <family val="2"/>
          </rPr>
          <t>Q</t>
        </r>
        <r>
          <rPr>
            <b/>
            <sz val="9"/>
            <color indexed="81"/>
            <rFont val="Tahoma"/>
            <family val="2"/>
          </rPr>
          <t xml:space="preserve"> PSR flyback converter</t>
        </r>
        <r>
          <rPr>
            <sz val="9"/>
            <color indexed="81"/>
            <rFont val="Tahoma"/>
            <family val="2"/>
          </rPr>
          <t xml:space="preserve">. As such, the user can expeditiously arrive at an optimized design by virtue of the following:
- Select transformer parameters including turns ratio and mag inductance
- Determine input and output capacitances for specified ripple requirements (1% Vout and 5% Vin)
- Select components for feedback, soft-start, input UVLO, and temperature compensation
- Advise componnets (usually optional) for SW voltage clamp and and flyback diode snubber
- Optimize the design using efficiency and solution size as key performance metrics
- Inspect converter efficiency and switching frequency over load and line
- Analyze efficiency based on selected component parameters
- Review auto-generated schematic and BOM list
</t>
        </r>
        <r>
          <rPr>
            <b/>
            <sz val="9"/>
            <color indexed="81"/>
            <rFont val="Tahoma"/>
            <family val="2"/>
          </rPr>
          <t>IMPORTANT:</t>
        </r>
        <r>
          <rPr>
            <sz val="9"/>
            <color indexed="81"/>
            <rFont val="Tahoma"/>
            <family val="2"/>
          </rPr>
          <t xml:space="preserve"> You must enable macros if Microsoft EXCEL asks as the file is being opened.
U.S. English notation is used throughout.
</t>
        </r>
        <r>
          <rPr>
            <u/>
            <sz val="9"/>
            <color indexed="12"/>
            <rFont val="Tahoma"/>
            <family val="2"/>
          </rPr>
          <t>http://www.ti.com/widevin/</t>
        </r>
        <r>
          <rPr>
            <sz val="9"/>
            <color indexed="81"/>
            <rFont val="Tahoma"/>
            <family val="2"/>
          </rPr>
          <t xml:space="preserve">
</t>
        </r>
        <r>
          <rPr>
            <b/>
            <sz val="9"/>
            <color indexed="81"/>
            <rFont val="Tahoma"/>
            <family val="2"/>
          </rPr>
          <t xml:space="preserve">
Rev 1.0, Timothy Hegarty, Texas Instruments, Inc.</t>
        </r>
      </text>
    </comment>
    <comment ref="U3" authorId="0" shapeId="0" xr:uid="{00000000-0006-0000-0000-000002000000}">
      <text>
        <r>
          <rPr>
            <b/>
            <u/>
            <sz val="11"/>
            <color indexed="10"/>
            <rFont val="Tahoma"/>
            <family val="2"/>
          </rPr>
          <t>Texas Instruments</t>
        </r>
        <r>
          <rPr>
            <sz val="11"/>
            <color indexed="10"/>
            <rFont val="Tahoma"/>
            <family val="2"/>
          </rPr>
          <t>:</t>
        </r>
        <r>
          <rPr>
            <sz val="9"/>
            <color indexed="81"/>
            <rFont val="Tahoma"/>
            <family val="2"/>
          </rPr>
          <t xml:space="preserve">
</t>
        </r>
        <r>
          <rPr>
            <b/>
            <sz val="9"/>
            <color indexed="81"/>
            <rFont val="Tahoma"/>
            <family val="2"/>
          </rPr>
          <t>Limited Use Policy</t>
        </r>
        <r>
          <rPr>
            <sz val="9"/>
            <color indexed="81"/>
            <rFont val="Tahoma"/>
            <family val="2"/>
          </rPr>
          <t xml:space="preserve">
You must treat this software and documentation like any other copyrighted material.
</t>
        </r>
        <r>
          <rPr>
            <b/>
            <sz val="9"/>
            <color indexed="81"/>
            <rFont val="Tahoma"/>
            <family val="2"/>
          </rPr>
          <t>You may not:</t>
        </r>
        <r>
          <rPr>
            <sz val="9"/>
            <color indexed="81"/>
            <rFont val="Tahoma"/>
            <family val="2"/>
          </rPr>
          <t xml:space="preserve">
- Copy documentation of the software
- Copy this software except to make archival or backup copies
- Reverse engineer, disassemble, decompile or make any attempt to discover the source code of the software 
- Place the software onto a server so that it is accessible via a public network such as the internet 
- Sublicense, rent, lease or lend any portion of the software or documentation.
Texas Instruments is not responsible for the validity of any design created with this design tool and recommends that all designs be fully tested and carefully verified. Refer to the LM5180 product datasheet and EVM user's guide for more details.
</t>
        </r>
        <r>
          <rPr>
            <b/>
            <sz val="9"/>
            <color indexed="81"/>
            <rFont val="Tahoma"/>
            <family val="2"/>
          </rPr>
          <t>Rev 1.0, Timothy Hegarty, Texas Instruments, Inc.</t>
        </r>
      </text>
    </comment>
    <comment ref="F6" authorId="0" shapeId="0" xr:uid="{00000000-0006-0000-0000-000003000000}">
      <text>
        <r>
          <rPr>
            <b/>
            <u/>
            <sz val="9"/>
            <color indexed="81"/>
            <rFont val="Tahoma"/>
            <family val="2"/>
          </rPr>
          <t>Minimum Input Voltage</t>
        </r>
        <r>
          <rPr>
            <b/>
            <sz val="9"/>
            <color indexed="81"/>
            <rFont val="Tahoma"/>
            <family val="2"/>
          </rPr>
          <t>:</t>
        </r>
        <r>
          <rPr>
            <sz val="9"/>
            <color indexed="81"/>
            <rFont val="Tahoma"/>
            <family val="2"/>
          </rPr>
          <t xml:space="preserve">
Enter the minimum input operating voltage.
The LM25180 input voltage operating range is 4.5V to 42V.
</t>
        </r>
        <r>
          <rPr>
            <b/>
            <sz val="9"/>
            <color indexed="81"/>
            <rFont val="Tahoma"/>
            <family val="2"/>
          </rPr>
          <t>The text in this cell is red if:</t>
        </r>
        <r>
          <rPr>
            <sz val="9"/>
            <color indexed="81"/>
            <rFont val="Tahoma"/>
            <family val="2"/>
          </rPr>
          <t xml:space="preserve">
-The input voltage is above </t>
        </r>
        <r>
          <rPr>
            <b/>
            <sz val="9"/>
            <color indexed="10"/>
            <rFont val="Tahoma"/>
            <family val="2"/>
          </rPr>
          <t>42V</t>
        </r>
        <r>
          <rPr>
            <sz val="9"/>
            <color indexed="81"/>
            <rFont val="Tahoma"/>
            <family val="2"/>
          </rPr>
          <t xml:space="preserve">
-The input voltage is below </t>
        </r>
        <r>
          <rPr>
            <b/>
            <sz val="9"/>
            <color indexed="10"/>
            <rFont val="Tahoma"/>
            <family val="2"/>
          </rPr>
          <t>4.5V</t>
        </r>
      </text>
    </comment>
    <comment ref="M6" authorId="0" shapeId="0" xr:uid="{00000000-0006-0000-0000-000004000000}">
      <text>
        <r>
          <rPr>
            <b/>
            <u/>
            <sz val="9"/>
            <color indexed="81"/>
            <rFont val="Tahoma"/>
            <family val="2"/>
          </rPr>
          <t>Minimum Magnetizing Inductance</t>
        </r>
        <r>
          <rPr>
            <b/>
            <sz val="9"/>
            <color indexed="81"/>
            <rFont val="Tahoma"/>
            <family val="2"/>
          </rPr>
          <t xml:space="preserve">:
</t>
        </r>
        <r>
          <rPr>
            <sz val="9"/>
            <color indexed="81"/>
            <rFont val="Tahoma"/>
            <family val="2"/>
          </rPr>
          <t>The minimum magnetizing inductance is set by the off-time constraint at light loads (in FFM). The requirement is that the magnetizing current must not decrease to zero in less than 500ns.</t>
        </r>
      </text>
    </comment>
    <comment ref="F7" authorId="0" shapeId="0" xr:uid="{00000000-0006-0000-0000-000005000000}">
      <text>
        <r>
          <rPr>
            <b/>
            <u/>
            <sz val="9"/>
            <color indexed="81"/>
            <rFont val="Tahoma"/>
            <family val="2"/>
          </rPr>
          <t>Nominal Input Voltage</t>
        </r>
        <r>
          <rPr>
            <b/>
            <sz val="9"/>
            <color indexed="81"/>
            <rFont val="Tahoma"/>
            <family val="2"/>
          </rPr>
          <t>:</t>
        </r>
        <r>
          <rPr>
            <sz val="9"/>
            <color indexed="81"/>
            <rFont val="Tahoma"/>
            <family val="2"/>
          </rPr>
          <t xml:space="preserve">
Enter the nominal input operating voltage.
The LM25180 input voltage operating range is 4.5V to 42V.
</t>
        </r>
        <r>
          <rPr>
            <b/>
            <sz val="9"/>
            <color indexed="81"/>
            <rFont val="Tahoma"/>
            <family val="2"/>
          </rPr>
          <t>The text in this cell is red if:</t>
        </r>
        <r>
          <rPr>
            <sz val="9"/>
            <color indexed="81"/>
            <rFont val="Tahoma"/>
            <family val="2"/>
          </rPr>
          <t xml:space="preserve">
-The input voltage is above </t>
        </r>
        <r>
          <rPr>
            <b/>
            <sz val="9"/>
            <color indexed="10"/>
            <rFont val="Tahoma"/>
            <family val="2"/>
          </rPr>
          <t>42V</t>
        </r>
        <r>
          <rPr>
            <sz val="9"/>
            <color indexed="81"/>
            <rFont val="Tahoma"/>
            <family val="2"/>
          </rPr>
          <t xml:space="preserve">
-The input voltage is below </t>
        </r>
        <r>
          <rPr>
            <b/>
            <sz val="9"/>
            <color indexed="10"/>
            <rFont val="Tahoma"/>
            <family val="2"/>
          </rPr>
          <t>4.5V</t>
        </r>
      </text>
    </comment>
    <comment ref="M7" authorId="0" shapeId="0" xr:uid="{00000000-0006-0000-0000-000006000000}">
      <text>
        <r>
          <rPr>
            <b/>
            <u/>
            <sz val="9"/>
            <color indexed="81"/>
            <rFont val="Tahoma"/>
            <family val="2"/>
          </rPr>
          <t>Magnetizing Inductance</t>
        </r>
        <r>
          <rPr>
            <b/>
            <sz val="9"/>
            <color indexed="81"/>
            <rFont val="Tahoma"/>
            <family val="2"/>
          </rPr>
          <t xml:space="preserve">:
</t>
        </r>
        <r>
          <rPr>
            <sz val="9"/>
            <color indexed="81"/>
            <rFont val="Tahoma"/>
            <family val="2"/>
          </rPr>
          <t xml:space="preserve">Enter the transformer mag inductance here.
Lower inductance provides an earlier transition from FFM to DCM but pushes out (or entirely eliminates) BCM operation. The main priviso is that the rated output current is achieved at nominal input voltage.
</t>
        </r>
        <r>
          <rPr>
            <b/>
            <sz val="9"/>
            <color indexed="81"/>
            <rFont val="Tahoma"/>
            <family val="2"/>
          </rPr>
          <t xml:space="preserve">This cell is flagged </t>
        </r>
        <r>
          <rPr>
            <b/>
            <sz val="9"/>
            <color indexed="10"/>
            <rFont val="Tahoma"/>
            <family val="2"/>
          </rPr>
          <t>RED</t>
        </r>
        <r>
          <rPr>
            <b/>
            <sz val="9"/>
            <color indexed="81"/>
            <rFont val="Tahoma"/>
            <family val="2"/>
          </rPr>
          <t xml:space="preserve"> if:</t>
        </r>
        <r>
          <rPr>
            <b/>
            <sz val="9"/>
            <color indexed="39"/>
            <rFont val="Tahoma"/>
            <family val="2"/>
          </rPr>
          <t xml:space="preserve">
</t>
        </r>
        <r>
          <rPr>
            <b/>
            <sz val="9"/>
            <color indexed="10"/>
            <rFont val="Tahoma"/>
            <family val="2"/>
          </rPr>
          <t>-The chosen inductance causes the peak current at max input voltage...</t>
        </r>
      </text>
    </comment>
    <comment ref="F8" authorId="0" shapeId="0" xr:uid="{00000000-0006-0000-0000-000007000000}">
      <text>
        <r>
          <rPr>
            <b/>
            <u/>
            <sz val="9"/>
            <color indexed="81"/>
            <rFont val="Tahoma"/>
            <family val="2"/>
          </rPr>
          <t>Maximum Input Voltage</t>
        </r>
        <r>
          <rPr>
            <b/>
            <sz val="9"/>
            <color indexed="81"/>
            <rFont val="Tahoma"/>
            <family val="2"/>
          </rPr>
          <t>:</t>
        </r>
        <r>
          <rPr>
            <sz val="9"/>
            <color indexed="81"/>
            <rFont val="Tahoma"/>
            <family val="2"/>
          </rPr>
          <t xml:space="preserve">
Enter the maximum input operating voltage.
The LM25180 input voltage operating range is 4.5V to 42V.
</t>
        </r>
        <r>
          <rPr>
            <b/>
            <sz val="9"/>
            <color indexed="81"/>
            <rFont val="Tahoma"/>
            <family val="2"/>
          </rPr>
          <t>The text in this cell is red if:</t>
        </r>
        <r>
          <rPr>
            <sz val="9"/>
            <color indexed="81"/>
            <rFont val="Tahoma"/>
            <family val="2"/>
          </rPr>
          <t xml:space="preserve">
-The input voltage is above </t>
        </r>
        <r>
          <rPr>
            <b/>
            <sz val="9"/>
            <color indexed="10"/>
            <rFont val="Tahoma"/>
            <family val="2"/>
          </rPr>
          <t>42V</t>
        </r>
        <r>
          <rPr>
            <sz val="9"/>
            <color indexed="81"/>
            <rFont val="Tahoma"/>
            <family val="2"/>
          </rPr>
          <t xml:space="preserve">
-The input voltage is below </t>
        </r>
        <r>
          <rPr>
            <b/>
            <sz val="9"/>
            <color indexed="10"/>
            <rFont val="Tahoma"/>
            <family val="2"/>
          </rPr>
          <t>4.5V</t>
        </r>
      </text>
    </comment>
    <comment ref="M8" authorId="0" shapeId="0" xr:uid="{00000000-0006-0000-0000-000008000000}">
      <text>
        <r>
          <rPr>
            <b/>
            <u/>
            <sz val="9"/>
            <color indexed="81"/>
            <rFont val="Tahoma"/>
            <family val="2"/>
          </rPr>
          <t>Primary Winding DCR</t>
        </r>
        <r>
          <rPr>
            <b/>
            <sz val="9"/>
            <color indexed="81"/>
            <rFont val="Tahoma"/>
            <family val="2"/>
          </rPr>
          <t xml:space="preserve">:
</t>
        </r>
        <r>
          <rPr>
            <sz val="9"/>
            <color indexed="81"/>
            <rFont val="Tahoma"/>
            <family val="2"/>
          </rPr>
          <t>Enter the primary winding DC resistance (DCR) here. This is typically specified in the transformer datasheet at 25°C copper temperature.</t>
        </r>
      </text>
    </comment>
    <comment ref="M9" authorId="0" shapeId="0" xr:uid="{00000000-0006-0000-0000-000009000000}">
      <text>
        <r>
          <rPr>
            <b/>
            <u/>
            <sz val="9"/>
            <color indexed="81"/>
            <rFont val="Tahoma"/>
            <family val="2"/>
          </rPr>
          <t>Secondary Winding DCR</t>
        </r>
        <r>
          <rPr>
            <b/>
            <sz val="9"/>
            <color indexed="81"/>
            <rFont val="Tahoma"/>
            <family val="2"/>
          </rPr>
          <t xml:space="preserve">:
</t>
        </r>
        <r>
          <rPr>
            <sz val="9"/>
            <color indexed="81"/>
            <rFont val="Tahoma"/>
            <family val="2"/>
          </rPr>
          <t>Enter the secondary winding DCR here. This is typically specified in the transformer datasheet at 25°C copper temperature.</t>
        </r>
      </text>
    </comment>
    <comment ref="F10" authorId="0" shapeId="0" xr:uid="{00000000-0006-0000-0000-00000A000000}">
      <text>
        <r>
          <rPr>
            <b/>
            <u/>
            <sz val="9"/>
            <color indexed="81"/>
            <rFont val="Tahoma"/>
            <family val="2"/>
          </rPr>
          <t>Output Voltage</t>
        </r>
        <r>
          <rPr>
            <b/>
            <sz val="9"/>
            <color indexed="81"/>
            <rFont val="Tahoma"/>
            <family val="2"/>
          </rPr>
          <t xml:space="preserve">:
</t>
        </r>
        <r>
          <rPr>
            <sz val="9"/>
            <color indexed="81"/>
            <rFont val="Tahoma"/>
            <family val="2"/>
          </rPr>
          <t xml:space="preserve">Enter the desired </t>
        </r>
        <r>
          <rPr>
            <sz val="9"/>
            <color indexed="8"/>
            <rFont val="Tahoma"/>
            <family val="2"/>
          </rPr>
          <t>output</t>
        </r>
        <r>
          <rPr>
            <sz val="9"/>
            <color indexed="81"/>
            <rFont val="Tahoma"/>
            <family val="2"/>
          </rPr>
          <t xml:space="preserve"> voltage here.</t>
        </r>
      </text>
    </comment>
    <comment ref="F11" authorId="0" shapeId="0" xr:uid="{00000000-0006-0000-0000-00000B000000}">
      <text>
        <r>
          <rPr>
            <b/>
            <u/>
            <sz val="9"/>
            <color indexed="81"/>
            <rFont val="Tahoma"/>
            <family val="2"/>
          </rPr>
          <t>Output Current</t>
        </r>
        <r>
          <rPr>
            <b/>
            <sz val="9"/>
            <color indexed="81"/>
            <rFont val="Tahoma"/>
            <family val="2"/>
          </rPr>
          <t xml:space="preserve">:
</t>
        </r>
        <r>
          <rPr>
            <sz val="9"/>
            <color indexed="81"/>
            <rFont val="Tahoma"/>
            <family val="2"/>
          </rPr>
          <t>Enter the desired output current here.</t>
        </r>
        <r>
          <rPr>
            <b/>
            <sz val="9"/>
            <color indexed="81"/>
            <rFont val="Tahoma"/>
            <family val="2"/>
          </rPr>
          <t xml:space="preserve">
</t>
        </r>
        <r>
          <rPr>
            <sz val="9"/>
            <color indexed="81"/>
            <rFont val="Tahoma"/>
            <family val="2"/>
          </rPr>
          <t xml:space="preserve">The text in this cell is </t>
        </r>
        <r>
          <rPr>
            <b/>
            <sz val="9"/>
            <color indexed="10"/>
            <rFont val="Tahoma"/>
            <family val="2"/>
          </rPr>
          <t>RED</t>
        </r>
        <r>
          <rPr>
            <sz val="9"/>
            <color indexed="81"/>
            <rFont val="Tahoma"/>
            <family val="2"/>
          </rPr>
          <t xml:space="preserve"> if:</t>
        </r>
        <r>
          <rPr>
            <b/>
            <sz val="9"/>
            <color indexed="81"/>
            <rFont val="Tahoma"/>
            <family val="2"/>
          </rPr>
          <t xml:space="preserve">
</t>
        </r>
        <r>
          <rPr>
            <b/>
            <sz val="9"/>
            <color indexed="39"/>
            <rFont val="Tahoma"/>
            <family val="2"/>
          </rPr>
          <t>-The output power is above</t>
        </r>
        <r>
          <rPr>
            <b/>
            <sz val="9"/>
            <color indexed="10"/>
            <rFont val="Tahoma"/>
            <family val="2"/>
          </rPr>
          <t xml:space="preserve"> 7W (the output current causes current limit to engage)
</t>
        </r>
        <r>
          <rPr>
            <b/>
            <sz val="9"/>
            <color indexed="39"/>
            <rFont val="Tahoma"/>
            <family val="2"/>
          </rPr>
          <t xml:space="preserve">-The output current is below </t>
        </r>
        <r>
          <rPr>
            <b/>
            <sz val="9"/>
            <color indexed="10"/>
            <rFont val="Tahoma"/>
            <family val="2"/>
          </rPr>
          <t xml:space="preserve">10mA
</t>
        </r>
      </text>
    </comment>
    <comment ref="M14" authorId="0" shapeId="0" xr:uid="{00000000-0006-0000-0000-00000C000000}">
      <text>
        <r>
          <rPr>
            <b/>
            <u/>
            <sz val="9"/>
            <color indexed="81"/>
            <rFont val="Tahoma"/>
            <family val="2"/>
          </rPr>
          <t>Max Duty Cycle</t>
        </r>
        <r>
          <rPr>
            <b/>
            <sz val="9"/>
            <color indexed="81"/>
            <rFont val="Tahoma"/>
            <family val="2"/>
          </rPr>
          <t xml:space="preserve">:
</t>
        </r>
        <r>
          <rPr>
            <sz val="9"/>
            <color indexed="81"/>
            <rFont val="Tahoma"/>
            <family val="2"/>
          </rPr>
          <t>The max operating duty cycle is preferably kept below 75% to prevent high peak/rms currents in the flyback diode(s) and secondary winding(s).</t>
        </r>
      </text>
    </comment>
    <comment ref="M15" authorId="0" shapeId="0" xr:uid="{00000000-0006-0000-0000-00000D000000}">
      <text>
        <r>
          <rPr>
            <b/>
            <u/>
            <sz val="9"/>
            <color indexed="81"/>
            <rFont val="Tahoma"/>
            <family val="2"/>
          </rPr>
          <t>Max Output Current at VIN(min)</t>
        </r>
        <r>
          <rPr>
            <b/>
            <sz val="9"/>
            <color indexed="81"/>
            <rFont val="Tahoma"/>
            <family val="2"/>
          </rPr>
          <t xml:space="preserve">:
</t>
        </r>
        <r>
          <rPr>
            <sz val="9"/>
            <color indexed="81"/>
            <rFont val="Tahoma"/>
            <family val="2"/>
          </rPr>
          <t>The output power is most limited at minimum input operating voltage. Adjust the transformer turns ratio if needed.</t>
        </r>
      </text>
    </comment>
    <comment ref="F16" authorId="0" shapeId="0" xr:uid="{00000000-0006-0000-0000-00000E000000}">
      <text>
        <r>
          <rPr>
            <b/>
            <u/>
            <sz val="9"/>
            <color indexed="81"/>
            <rFont val="Tahoma"/>
            <family val="2"/>
          </rPr>
          <t>Minimum Recommended Cin</t>
        </r>
        <r>
          <rPr>
            <b/>
            <sz val="9"/>
            <color indexed="81"/>
            <rFont val="Tahoma"/>
            <family val="2"/>
          </rPr>
          <t xml:space="preserve">:
</t>
        </r>
        <r>
          <rPr>
            <sz val="9"/>
            <color indexed="81"/>
            <rFont val="Tahoma"/>
            <family val="2"/>
          </rPr>
          <t xml:space="preserve">This is the minimum input cap based on 10% pk-pk voltage ripple at the input.
</t>
        </r>
        <r>
          <rPr>
            <sz val="9"/>
            <color indexed="39"/>
            <rFont val="Tahoma"/>
            <family val="2"/>
          </rPr>
          <t xml:space="preserve">
</t>
        </r>
        <r>
          <rPr>
            <b/>
            <sz val="9"/>
            <color indexed="39"/>
            <rFont val="Tahoma"/>
            <family val="2"/>
          </rPr>
          <t>This condition is derived at VIN(nom).</t>
        </r>
        <r>
          <rPr>
            <b/>
            <sz val="9"/>
            <color indexed="81"/>
            <rFont val="Tahoma"/>
            <family val="2"/>
          </rPr>
          <t xml:space="preserve">
</t>
        </r>
      </text>
    </comment>
    <comment ref="F17" authorId="0" shapeId="0" xr:uid="{00000000-0006-0000-0000-00000F000000}">
      <text>
        <r>
          <rPr>
            <b/>
            <u/>
            <sz val="9"/>
            <color indexed="81"/>
            <rFont val="Tahoma"/>
            <family val="2"/>
          </rPr>
          <t>Input Capacitance</t>
        </r>
        <r>
          <rPr>
            <b/>
            <sz val="9"/>
            <color indexed="81"/>
            <rFont val="Tahoma"/>
            <family val="2"/>
          </rPr>
          <t xml:space="preserve">:
</t>
        </r>
        <r>
          <rPr>
            <sz val="9"/>
            <color indexed="81"/>
            <rFont val="Tahoma"/>
            <family val="2"/>
          </rPr>
          <t xml:space="preserve">Enter the input capacitance here based on the minimum calculated result. Ensure that the nominal capacitance is appropriately derated for applied voltage.
</t>
        </r>
        <r>
          <rPr>
            <b/>
            <sz val="9"/>
            <color indexed="81"/>
            <rFont val="Tahoma"/>
            <family val="2"/>
          </rPr>
          <t xml:space="preserve">The text in this cell is flagged </t>
        </r>
        <r>
          <rPr>
            <b/>
            <sz val="9"/>
            <color indexed="10"/>
            <rFont val="Tahoma"/>
            <family val="2"/>
          </rPr>
          <t>red</t>
        </r>
        <r>
          <rPr>
            <b/>
            <sz val="9"/>
            <color indexed="81"/>
            <rFont val="Tahoma"/>
            <family val="2"/>
          </rPr>
          <t xml:space="preserve"> if:
</t>
        </r>
        <r>
          <rPr>
            <b/>
            <sz val="9"/>
            <color indexed="10"/>
            <rFont val="Tahoma"/>
            <family val="2"/>
          </rPr>
          <t>-The chosen input capacitor is smaller than the minimum ideal capacitance.</t>
        </r>
      </text>
    </comment>
    <comment ref="F18" authorId="0" shapeId="0" xr:uid="{00000000-0006-0000-0000-000010000000}">
      <text>
        <r>
          <rPr>
            <b/>
            <u/>
            <sz val="9"/>
            <color indexed="81"/>
            <rFont val="Tahoma"/>
            <family val="2"/>
          </rPr>
          <t>Input Capacitor ESR</t>
        </r>
        <r>
          <rPr>
            <b/>
            <sz val="9"/>
            <color indexed="81"/>
            <rFont val="Tahoma"/>
            <family val="2"/>
          </rPr>
          <t xml:space="preserve">:
</t>
        </r>
        <r>
          <rPr>
            <sz val="9"/>
            <color indexed="81"/>
            <rFont val="Tahoma"/>
            <family val="2"/>
          </rPr>
          <t>Enter the input capacitor ESR here based on the maximum allowed input capacitor ESR to meet the ripple voltage specification.</t>
        </r>
        <r>
          <rPr>
            <b/>
            <sz val="9"/>
            <color indexed="81"/>
            <rFont val="Tahoma"/>
            <family val="2"/>
          </rPr>
          <t xml:space="preserve">
The text in this cell will be </t>
        </r>
        <r>
          <rPr>
            <b/>
            <sz val="9"/>
            <color indexed="10"/>
            <rFont val="Tahoma"/>
            <family val="2"/>
          </rPr>
          <t>red</t>
        </r>
        <r>
          <rPr>
            <b/>
            <sz val="9"/>
            <color indexed="81"/>
            <rFont val="Tahoma"/>
            <family val="2"/>
          </rPr>
          <t xml:space="preserve"> if:
</t>
        </r>
        <r>
          <rPr>
            <b/>
            <sz val="9"/>
            <color indexed="10"/>
            <rFont val="Tahoma"/>
            <family val="2"/>
          </rPr>
          <t>-ESR is zero, or
-ESR exceeds maximum allowable ESR to meet the voltage ripple specification.</t>
        </r>
        <r>
          <rPr>
            <sz val="11"/>
            <color indexed="81"/>
            <rFont val="Tahoma"/>
            <family val="2"/>
          </rPr>
          <t xml:space="preserve">
</t>
        </r>
      </text>
    </comment>
    <comment ref="F20" authorId="0" shapeId="0" xr:uid="{00000000-0006-0000-0000-000011000000}">
      <text>
        <r>
          <rPr>
            <b/>
            <u/>
            <sz val="9"/>
            <color indexed="81"/>
            <rFont val="Tahoma"/>
            <family val="2"/>
          </rPr>
          <t>Minimum Recommneded Cout</t>
        </r>
        <r>
          <rPr>
            <b/>
            <sz val="9"/>
            <color indexed="81"/>
            <rFont val="Tahoma"/>
            <family val="2"/>
          </rPr>
          <t xml:space="preserve">:
</t>
        </r>
        <r>
          <rPr>
            <sz val="9"/>
            <color indexed="81"/>
            <rFont val="Tahoma"/>
            <family val="2"/>
          </rPr>
          <t xml:space="preserve">This is the minimum output cap based on 1% ripple at Vin(nom), full load
</t>
        </r>
        <r>
          <rPr>
            <sz val="9"/>
            <color indexed="39"/>
            <rFont val="Tahoma"/>
            <family val="2"/>
          </rPr>
          <t xml:space="preserve">
</t>
        </r>
        <r>
          <rPr>
            <b/>
            <sz val="9"/>
            <color indexed="39"/>
            <rFont val="Tahoma"/>
            <family val="2"/>
          </rPr>
          <t>NB: this condition is derived at VIN(nom).</t>
        </r>
        <r>
          <rPr>
            <b/>
            <sz val="9"/>
            <color indexed="81"/>
            <rFont val="Tahoma"/>
            <family val="2"/>
          </rPr>
          <t xml:space="preserve">
</t>
        </r>
      </text>
    </comment>
    <comment ref="F21" authorId="0" shapeId="0" xr:uid="{00000000-0006-0000-0000-000012000000}">
      <text>
        <r>
          <rPr>
            <b/>
            <u/>
            <sz val="9"/>
            <color indexed="81"/>
            <rFont val="Tahoma"/>
            <family val="2"/>
          </rPr>
          <t>Output Capacitance</t>
        </r>
        <r>
          <rPr>
            <b/>
            <sz val="9"/>
            <color indexed="81"/>
            <rFont val="Tahoma"/>
            <family val="2"/>
          </rPr>
          <t>:</t>
        </r>
        <r>
          <rPr>
            <sz val="9"/>
            <color indexed="81"/>
            <rFont val="Tahoma"/>
            <family val="2"/>
          </rPr>
          <t xml:space="preserve">
Enter the output capacitance here based on the minimum calculated result. Make sure that the nominal capacitance is appropriately derated for applied voltage, particularly with </t>
        </r>
        <r>
          <rPr>
            <sz val="9"/>
            <color indexed="39"/>
            <rFont val="Tahoma"/>
            <family val="2"/>
          </rPr>
          <t>ceramics</t>
        </r>
        <r>
          <rPr>
            <sz val="9"/>
            <color indexed="81"/>
            <rFont val="Tahoma"/>
            <family val="2"/>
          </rPr>
          <t xml:space="preserve">.
</t>
        </r>
        <r>
          <rPr>
            <b/>
            <sz val="9"/>
            <color indexed="81"/>
            <rFont val="Tahoma"/>
            <family val="2"/>
          </rPr>
          <t>The text in this cell is flagged red if:</t>
        </r>
        <r>
          <rPr>
            <sz val="9"/>
            <color indexed="81"/>
            <rFont val="Tahoma"/>
            <family val="2"/>
          </rPr>
          <t xml:space="preserve">
</t>
        </r>
        <r>
          <rPr>
            <b/>
            <sz val="9"/>
            <color indexed="10"/>
            <rFont val="Tahoma"/>
            <family val="2"/>
          </rPr>
          <t>-The chosen output capacitor is smaller than the minimum ideal capacitance.</t>
        </r>
      </text>
    </comment>
    <comment ref="F22" authorId="0" shapeId="0" xr:uid="{00000000-0006-0000-0000-000013000000}">
      <text>
        <r>
          <rPr>
            <b/>
            <u/>
            <sz val="9"/>
            <color indexed="81"/>
            <rFont val="Tahoma"/>
            <family val="2"/>
          </rPr>
          <t>Output Capacitor ESR</t>
        </r>
        <r>
          <rPr>
            <b/>
            <sz val="9"/>
            <color indexed="81"/>
            <rFont val="Tahoma"/>
            <family val="2"/>
          </rPr>
          <t xml:space="preserve">:
</t>
        </r>
        <r>
          <rPr>
            <sz val="9"/>
            <color indexed="81"/>
            <rFont val="Tahoma"/>
            <family val="2"/>
          </rPr>
          <t>Enter the output capacitor ESR here based on the maximum allowed output capacitor ESR to meet the ripple voltage specification.</t>
        </r>
        <r>
          <rPr>
            <b/>
            <sz val="9"/>
            <color indexed="81"/>
            <rFont val="Tahoma"/>
            <family val="2"/>
          </rPr>
          <t xml:space="preserve">
The text in this cell will be </t>
        </r>
        <r>
          <rPr>
            <b/>
            <sz val="9"/>
            <color indexed="10"/>
            <rFont val="Tahoma"/>
            <family val="2"/>
          </rPr>
          <t>red</t>
        </r>
        <r>
          <rPr>
            <b/>
            <sz val="9"/>
            <color indexed="81"/>
            <rFont val="Tahoma"/>
            <family val="2"/>
          </rPr>
          <t xml:space="preserve"> if:
</t>
        </r>
        <r>
          <rPr>
            <b/>
            <sz val="9"/>
            <color indexed="10"/>
            <rFont val="Tahoma"/>
            <family val="2"/>
          </rPr>
          <t>-ESR is zero, or
-ESR exceeds maximum allowable ESR to meet the voltage ripple specification.</t>
        </r>
        <r>
          <rPr>
            <sz val="11"/>
            <color indexed="81"/>
            <rFont val="Tahoma"/>
            <family val="2"/>
          </rPr>
          <t xml:space="preserve">
</t>
        </r>
      </text>
    </comment>
    <comment ref="F28" authorId="0" shapeId="0" xr:uid="{00000000-0006-0000-0000-000014000000}">
      <text>
        <r>
          <rPr>
            <b/>
            <u/>
            <sz val="9"/>
            <color indexed="81"/>
            <rFont val="Tahoma"/>
            <family val="2"/>
          </rPr>
          <t>Soft-Start Time</t>
        </r>
        <r>
          <rPr>
            <b/>
            <sz val="9"/>
            <color indexed="81"/>
            <rFont val="Tahoma"/>
            <family val="2"/>
          </rPr>
          <t xml:space="preserve">:
</t>
        </r>
        <r>
          <rPr>
            <sz val="9"/>
            <color indexed="81"/>
            <rFont val="Tahoma"/>
            <family val="2"/>
          </rPr>
          <t xml:space="preserve">Enter the </t>
        </r>
        <r>
          <rPr>
            <b/>
            <sz val="9"/>
            <color indexed="39"/>
            <rFont val="Tahoma"/>
            <family val="2"/>
          </rPr>
          <t>desired soft-start time</t>
        </r>
        <r>
          <rPr>
            <sz val="9"/>
            <color indexed="81"/>
            <rFont val="Tahoma"/>
            <family val="2"/>
          </rPr>
          <t xml:space="preserve"> as required (must be greater than 6ms)
Leave the </t>
        </r>
        <r>
          <rPr>
            <b/>
            <sz val="9"/>
            <color indexed="39"/>
            <rFont val="Tahoma"/>
            <family val="2"/>
          </rPr>
          <t>SS/BIAS pin open circuit</t>
        </r>
        <r>
          <rPr>
            <sz val="9"/>
            <color indexed="81"/>
            <rFont val="Tahoma"/>
            <family val="2"/>
          </rPr>
          <t xml:space="preserve"> to provide a soft-start time of </t>
        </r>
        <r>
          <rPr>
            <b/>
            <sz val="9"/>
            <color indexed="81"/>
            <rFont val="Tahoma"/>
            <family val="2"/>
          </rPr>
          <t>6ms</t>
        </r>
        <r>
          <rPr>
            <sz val="9"/>
            <color indexed="81"/>
            <rFont val="Tahoma"/>
            <family val="2"/>
          </rPr>
          <t>.
Connect an auxiliary bias rail to SS/BIAS to reduce quiescent current and bias power dissipation.</t>
        </r>
        <r>
          <rPr>
            <b/>
            <sz val="9"/>
            <color indexed="81"/>
            <rFont val="Tahoma"/>
            <family val="2"/>
          </rPr>
          <t xml:space="preserve">
The text in the cell below becomes red if:
</t>
        </r>
        <r>
          <rPr>
            <b/>
            <sz val="9"/>
            <color indexed="10"/>
            <rFont val="Tahoma"/>
            <family val="2"/>
          </rPr>
          <t>-The specified programmable soft-start time is less than 6ms.</t>
        </r>
        <r>
          <rPr>
            <sz val="9"/>
            <color indexed="81"/>
            <rFont val="Tahoma"/>
            <family val="2"/>
          </rPr>
          <t xml:space="preserve">
</t>
        </r>
      </text>
    </comment>
    <comment ref="F34" authorId="0" shapeId="0" xr:uid="{00000000-0006-0000-0000-000015000000}">
      <text>
        <r>
          <rPr>
            <b/>
            <u/>
            <sz val="9"/>
            <color indexed="81"/>
            <rFont val="Tahoma"/>
            <family val="2"/>
          </rPr>
          <t>Nominal Input UVLO Turn-On/Off Threshold Levels</t>
        </r>
        <r>
          <rPr>
            <b/>
            <sz val="9"/>
            <color indexed="81"/>
            <rFont val="Tahoma"/>
            <family val="2"/>
          </rPr>
          <t>:</t>
        </r>
        <r>
          <rPr>
            <sz val="9"/>
            <color indexed="81"/>
            <rFont val="Tahoma"/>
            <family val="2"/>
          </rPr>
          <t xml:space="preserve">
Enter the nominal input voltages for UVLO turn-on and turn-off. 
Note that the LM25180 input operating voltage range is</t>
        </r>
        <r>
          <rPr>
            <b/>
            <sz val="9"/>
            <color indexed="81"/>
            <rFont val="Tahoma"/>
            <family val="2"/>
          </rPr>
          <t xml:space="preserve"> 4.5V to 42V (3.5V after startup).</t>
        </r>
        <r>
          <rPr>
            <sz val="9"/>
            <color indexed="81"/>
            <rFont val="Tahoma"/>
            <family val="2"/>
          </rPr>
          <t xml:space="preserve">
</t>
        </r>
        <r>
          <rPr>
            <b/>
            <sz val="9"/>
            <color indexed="81"/>
            <rFont val="Tahoma"/>
            <family val="2"/>
          </rPr>
          <t>The text in the cell below becomes red if:</t>
        </r>
        <r>
          <rPr>
            <sz val="9"/>
            <color indexed="81"/>
            <rFont val="Tahoma"/>
            <family val="2"/>
          </rPr>
          <t xml:space="preserve">
-The input voltage UVLO turn-on is above </t>
        </r>
        <r>
          <rPr>
            <b/>
            <sz val="9"/>
            <color indexed="10"/>
            <rFont val="Tahoma"/>
            <family val="2"/>
          </rPr>
          <t>42V</t>
        </r>
        <r>
          <rPr>
            <sz val="9"/>
            <color indexed="81"/>
            <rFont val="Tahoma"/>
            <family val="2"/>
          </rPr>
          <t xml:space="preserve">
-The input voltage UVLO turn-on is below </t>
        </r>
        <r>
          <rPr>
            <b/>
            <sz val="9"/>
            <color indexed="10"/>
            <rFont val="Tahoma"/>
            <family val="2"/>
          </rPr>
          <t xml:space="preserve">4.5V
</t>
        </r>
        <r>
          <rPr>
            <sz val="9"/>
            <color indexed="81"/>
            <rFont val="Tahoma"/>
            <family val="2"/>
          </rPr>
          <t>-The input voltage UVLO turn-off is below</t>
        </r>
        <r>
          <rPr>
            <b/>
            <sz val="9"/>
            <color indexed="10"/>
            <rFont val="Tahoma"/>
            <family val="2"/>
          </rPr>
          <t xml:space="preserve"> 3.5V
</t>
        </r>
        <r>
          <rPr>
            <b/>
            <sz val="9"/>
            <color indexed="39"/>
            <rFont val="Tahoma"/>
            <family val="2"/>
          </rPr>
          <t>If the internal UVLO is sufficient, connect EN to logic high or VIN.</t>
        </r>
      </text>
    </comment>
    <comment ref="F41" authorId="1" shapeId="0" xr:uid="{00000000-0006-0000-0000-000016000000}">
      <text>
        <r>
          <rPr>
            <b/>
            <u/>
            <sz val="9"/>
            <color indexed="81"/>
            <rFont val="Tahoma"/>
            <family val="2"/>
          </rPr>
          <t>Diode Drop</t>
        </r>
        <r>
          <rPr>
            <b/>
            <sz val="9"/>
            <color indexed="81"/>
            <rFont val="Tahoma"/>
            <family val="2"/>
          </rPr>
          <t>:</t>
        </r>
        <r>
          <rPr>
            <sz val="9"/>
            <color indexed="81"/>
            <rFont val="Tahoma"/>
            <family val="2"/>
          </rPr>
          <t xml:space="preserve">
Enter the voltage drop of the flyback diode at no load, 25°C (used for FB resistor calculation)</t>
        </r>
      </text>
    </comment>
    <comment ref="F42" authorId="1" shapeId="0" xr:uid="{00000000-0006-0000-0000-000017000000}">
      <text>
        <r>
          <rPr>
            <b/>
            <u/>
            <sz val="9"/>
            <color indexed="81"/>
            <rFont val="Tahoma"/>
            <family val="2"/>
          </rPr>
          <t>Diode Drop</t>
        </r>
        <r>
          <rPr>
            <b/>
            <sz val="9"/>
            <color indexed="81"/>
            <rFont val="Tahoma"/>
            <family val="2"/>
          </rPr>
          <t>:</t>
        </r>
        <r>
          <rPr>
            <sz val="9"/>
            <color indexed="81"/>
            <rFont val="Tahoma"/>
            <family val="2"/>
          </rPr>
          <t xml:space="preserve">
Enter the voltage drop of the flyback diode at full load, 25°C (used for power loss calculations)</t>
        </r>
      </text>
    </comment>
    <comment ref="F43" authorId="0" shapeId="0" xr:uid="{00000000-0006-0000-0000-000018000000}">
      <text>
        <r>
          <rPr>
            <b/>
            <u/>
            <sz val="9"/>
            <color indexed="81"/>
            <rFont val="Tahoma"/>
            <family val="2"/>
          </rPr>
          <t>Estimated Thermal Impedance</t>
        </r>
        <r>
          <rPr>
            <b/>
            <sz val="9"/>
            <color indexed="81"/>
            <rFont val="Tahoma"/>
            <family val="2"/>
          </rPr>
          <t xml:space="preserve">:
</t>
        </r>
        <r>
          <rPr>
            <sz val="9"/>
            <color indexed="81"/>
            <rFont val="Tahoma"/>
            <family val="2"/>
          </rPr>
          <t xml:space="preserve">Enter the LM25180's junction-to-ambient thermal impedance, which relates to PCB copper weight and area for heatsinking, local ariflow rate, and other factors.
</t>
        </r>
      </text>
    </comment>
    <comment ref="F44" authorId="0" shapeId="0" xr:uid="{00000000-0006-0000-0000-000019000000}">
      <text>
        <r>
          <rPr>
            <b/>
            <u/>
            <sz val="9"/>
            <color indexed="81"/>
            <rFont val="Tahoma"/>
            <family val="2"/>
          </rPr>
          <t>Ambient Operating Temperature</t>
        </r>
        <r>
          <rPr>
            <b/>
            <sz val="9"/>
            <color indexed="81"/>
            <rFont val="Tahoma"/>
            <family val="2"/>
          </rPr>
          <t xml:space="preserve">:
</t>
        </r>
        <r>
          <rPr>
            <sz val="9"/>
            <color indexed="81"/>
            <rFont val="Tahoma"/>
            <family val="2"/>
          </rPr>
          <t>Enter the LM25180's local ambient temperature (T</t>
        </r>
        <r>
          <rPr>
            <vertAlign val="subscript"/>
            <sz val="9"/>
            <color indexed="81"/>
            <rFont val="Tahoma"/>
            <family val="2"/>
          </rPr>
          <t>A</t>
        </r>
        <r>
          <rPr>
            <sz val="9"/>
            <color indexed="81"/>
            <rFont val="Tahoma"/>
            <family val="2"/>
          </rPr>
          <t xml:space="preserve">) here.
</t>
        </r>
        <r>
          <rPr>
            <b/>
            <sz val="9"/>
            <color indexed="81"/>
            <rFont val="Tahoma"/>
            <family val="2"/>
          </rPr>
          <t xml:space="preserve">The text in this cell is flagged </t>
        </r>
        <r>
          <rPr>
            <b/>
            <sz val="9"/>
            <color indexed="10"/>
            <rFont val="Tahoma"/>
            <family val="2"/>
          </rPr>
          <t>red</t>
        </r>
        <r>
          <rPr>
            <b/>
            <sz val="9"/>
            <color indexed="81"/>
            <rFont val="Tahoma"/>
            <family val="2"/>
          </rPr>
          <t xml:space="preserve"> if:
</t>
        </r>
        <r>
          <rPr>
            <b/>
            <sz val="9"/>
            <color indexed="10"/>
            <rFont val="Tahoma"/>
            <family val="2"/>
          </rPr>
          <t>-The chosen ambient temperature is below -40°C or above 150°C.</t>
        </r>
      </text>
    </comment>
    <comment ref="F46" authorId="0" shapeId="0" xr:uid="{00000000-0006-0000-0000-00001A000000}">
      <text>
        <r>
          <rPr>
            <b/>
            <u/>
            <sz val="9"/>
            <color indexed="81"/>
            <rFont val="Tahoma"/>
            <family val="2"/>
          </rPr>
          <t>Operating Junction Temperature</t>
        </r>
        <r>
          <rPr>
            <b/>
            <sz val="9"/>
            <color indexed="81"/>
            <rFont val="Tahoma"/>
            <family val="2"/>
          </rPr>
          <t xml:space="preserve">:
</t>
        </r>
        <r>
          <rPr>
            <sz val="9"/>
            <color indexed="81"/>
            <rFont val="Tahoma"/>
            <family val="2"/>
          </rPr>
          <t>Here is an estimate of the LM25180's opertaing junction temperature (T</t>
        </r>
        <r>
          <rPr>
            <vertAlign val="subscript"/>
            <sz val="9"/>
            <color indexed="81"/>
            <rFont val="Tahoma"/>
            <family val="2"/>
          </rPr>
          <t>J</t>
        </r>
        <r>
          <rPr>
            <sz val="9"/>
            <color indexed="81"/>
            <rFont val="Tahoma"/>
            <family val="2"/>
          </rPr>
          <t xml:space="preserve">) at full load and nominal input voltage.
</t>
        </r>
        <r>
          <rPr>
            <b/>
            <sz val="9"/>
            <color indexed="81"/>
            <rFont val="Tahoma"/>
            <family val="2"/>
          </rPr>
          <t xml:space="preserve">The text in this cell is flagged </t>
        </r>
        <r>
          <rPr>
            <b/>
            <sz val="9"/>
            <color indexed="10"/>
            <rFont val="Tahoma"/>
            <family val="2"/>
          </rPr>
          <t>red</t>
        </r>
        <r>
          <rPr>
            <b/>
            <sz val="9"/>
            <color indexed="81"/>
            <rFont val="Tahoma"/>
            <family val="2"/>
          </rPr>
          <t xml:space="preserve"> if:
</t>
        </r>
        <r>
          <rPr>
            <b/>
            <sz val="9"/>
            <color indexed="10"/>
            <rFont val="Tahoma"/>
            <family val="2"/>
          </rPr>
          <t>-The calculated junction temperature is below -40°C or above 150°C.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Timothy Hegarty</author>
  </authors>
  <commentList>
    <comment ref="A1" authorId="0" shapeId="0" xr:uid="{00000000-0006-0000-0700-000001000000}">
      <text>
        <r>
          <rPr>
            <sz val="11"/>
            <color indexed="81"/>
            <rFont val="Tahoma"/>
            <family val="2"/>
          </rPr>
          <t>This efficiency calculator is aimed towards low current, COT-type architectures. Specifically, the "On Time" is programmed by the timing resistor, Rt. Meanwhile, the "Off Time" is determined by zero crossing of the inductor current crosses (in DCM) or when FB touches VREF (in CCM). In the DCM configuration, it is assumed that the effective switching frequency is proportional to output current.</t>
        </r>
      </text>
    </comment>
    <comment ref="G2" authorId="0" shapeId="0" xr:uid="{00000000-0006-0000-0700-000002000000}">
      <text>
        <r>
          <rPr>
            <b/>
            <u/>
            <sz val="11"/>
            <color indexed="10"/>
            <rFont val="Tahoma"/>
            <family val="2"/>
          </rPr>
          <t>Texas Instruments</t>
        </r>
        <r>
          <rPr>
            <sz val="11"/>
            <color indexed="10"/>
            <rFont val="Tahoma"/>
            <family val="2"/>
          </rPr>
          <t>:</t>
        </r>
        <r>
          <rPr>
            <sz val="9"/>
            <color indexed="81"/>
            <rFont val="Tahoma"/>
            <family val="2"/>
          </rPr>
          <t xml:space="preserve">
</t>
        </r>
        <r>
          <rPr>
            <b/>
            <sz val="9"/>
            <color indexed="81"/>
            <rFont val="Tahoma"/>
            <family val="2"/>
          </rPr>
          <t>Limited Use Policy</t>
        </r>
        <r>
          <rPr>
            <sz val="9"/>
            <color indexed="81"/>
            <rFont val="Tahoma"/>
            <family val="2"/>
          </rPr>
          <t xml:space="preserve">
You must treat this software and documentation like any other copyrighted material.
</t>
        </r>
        <r>
          <rPr>
            <b/>
            <sz val="9"/>
            <color indexed="81"/>
            <rFont val="Tahoma"/>
            <family val="2"/>
          </rPr>
          <t>You may not:</t>
        </r>
        <r>
          <rPr>
            <sz val="9"/>
            <color indexed="81"/>
            <rFont val="Tahoma"/>
            <family val="2"/>
          </rPr>
          <t xml:space="preserve">
- Copy documentation of the software
- Copy this software except to make archival or backup copies
- Reverse engineer, disassemble, decompile or make any attempt to discover the source code of the Software 
- Place the software onto a server so that it is accessible via a public network such as the internet 
- Sublicense, rent, lease or lend any portion of the software or documentation.
Texas Instruments is not responsible for the validity of any design created with this software and urges all designs to be fully tested and carefully verified. Refer to the LM5165 product datasheet and EVM user guides for more details.
</t>
        </r>
        <r>
          <rPr>
            <b/>
            <sz val="9"/>
            <color indexed="81"/>
            <rFont val="Tahoma"/>
            <family val="2"/>
          </rPr>
          <t>Rev. 1, Timothy Hegarty, Texas Instruments, Inc.</t>
        </r>
      </text>
    </comment>
  </commentList>
</comments>
</file>

<file path=xl/sharedStrings.xml><?xml version="1.0" encoding="utf-8"?>
<sst xmlns="http://schemas.openxmlformats.org/spreadsheetml/2006/main" count="1280" uniqueCount="710">
  <si>
    <t>V</t>
  </si>
  <si>
    <t>A</t>
  </si>
  <si>
    <t>kHz</t>
  </si>
  <si>
    <t>Vin</t>
  </si>
  <si>
    <t>Vout</t>
  </si>
  <si>
    <t>Iout</t>
  </si>
  <si>
    <t>Value</t>
  </si>
  <si>
    <t>STD Units</t>
  </si>
  <si>
    <t>Hz</t>
  </si>
  <si>
    <t>Notes</t>
  </si>
  <si>
    <t>Nominal input voltage</t>
  </si>
  <si>
    <t>H</t>
  </si>
  <si>
    <t>Coutmin</t>
  </si>
  <si>
    <t>F</t>
  </si>
  <si>
    <t>Cout</t>
  </si>
  <si>
    <t>pF</t>
  </si>
  <si>
    <t>Pi</t>
  </si>
  <si>
    <t>Rfb2</t>
  </si>
  <si>
    <t>Vref</t>
  </si>
  <si>
    <t>Variable Name</t>
  </si>
  <si>
    <t>mΩ</t>
  </si>
  <si>
    <t>kΩ</t>
  </si>
  <si>
    <t>TERMS OF USE</t>
  </si>
  <si>
    <t>Currents</t>
  </si>
  <si>
    <t>IQ</t>
  </si>
  <si>
    <t>Step</t>
  </si>
  <si>
    <t>Design</t>
  </si>
  <si>
    <t>L</t>
  </si>
  <si>
    <t>Cin</t>
  </si>
  <si>
    <t>Components</t>
  </si>
  <si>
    <t>mA</t>
  </si>
  <si>
    <t>nC</t>
  </si>
  <si>
    <t>ns</t>
  </si>
  <si>
    <t>Units</t>
  </si>
  <si>
    <t>Outputs</t>
  </si>
  <si>
    <t>LTc</t>
  </si>
  <si>
    <t>Ta</t>
  </si>
  <si>
    <t>RCinEsr</t>
  </si>
  <si>
    <t>Tr</t>
  </si>
  <si>
    <t>Tf</t>
  </si>
  <si>
    <t>Ambient Temperature</t>
  </si>
  <si>
    <t>Description</t>
  </si>
  <si>
    <t>Input Parameters</t>
  </si>
  <si>
    <t>Input Value</t>
  </si>
  <si>
    <t>Power Dis</t>
  </si>
  <si>
    <t>W</t>
  </si>
  <si>
    <t>Temp rise</t>
  </si>
  <si>
    <t>Efficiency</t>
  </si>
  <si>
    <t>Duty Cycle</t>
  </si>
  <si>
    <t xml:space="preserve">IQ </t>
  </si>
  <si>
    <t>Quiescent Current Of Controller (Not Switching!)</t>
  </si>
  <si>
    <t>s</t>
  </si>
  <si>
    <t>Part Characteristics</t>
  </si>
  <si>
    <t>Rfb2_u</t>
  </si>
  <si>
    <t>CoutEsr</t>
  </si>
  <si>
    <t>Step 5: Input Capacitor</t>
  </si>
  <si>
    <t>nF</t>
  </si>
  <si>
    <t>VIN</t>
  </si>
  <si>
    <t>Icinrms</t>
  </si>
  <si>
    <t>= Input Box</t>
  </si>
  <si>
    <t>Input capacitance</t>
  </si>
  <si>
    <t>Step 1: Operational Specs</t>
  </si>
  <si>
    <t>Step 6: Soft Start</t>
  </si>
  <si>
    <t>ms</t>
  </si>
  <si>
    <t>Tss</t>
  </si>
  <si>
    <t>Iss</t>
  </si>
  <si>
    <t>Css</t>
  </si>
  <si>
    <t>Part Number</t>
  </si>
  <si>
    <t>Capacitors</t>
  </si>
  <si>
    <t>(pF)</t>
  </si>
  <si>
    <t>Standard Result</t>
  </si>
  <si>
    <t>Inputs</t>
  </si>
  <si>
    <t>Css_u</t>
  </si>
  <si>
    <t>Resistors</t>
  </si>
  <si>
    <t>inputs</t>
  </si>
  <si>
    <t>Cb</t>
  </si>
  <si>
    <t>Rs</t>
  </si>
  <si>
    <t xml:space="preserve">                </t>
  </si>
  <si>
    <t xml:space="preserve"> </t>
  </si>
  <si>
    <t>Rc1ea</t>
  </si>
  <si>
    <t>Blank out</t>
  </si>
  <si>
    <t>Input from user =</t>
  </si>
  <si>
    <t>Constant</t>
  </si>
  <si>
    <t>Step 8: Efficiency</t>
  </si>
  <si>
    <t>°C/W</t>
  </si>
  <si>
    <t>SCHEMATIC LABELS</t>
  </si>
  <si>
    <t>OUTPUT CURRENT</t>
  </si>
  <si>
    <t>Current (switching)</t>
  </si>
  <si>
    <t>Qrr Current</t>
  </si>
  <si>
    <t>Diode Current</t>
  </si>
  <si>
    <t>Std Units</t>
  </si>
  <si>
    <t>Total Application Switching IQ</t>
  </si>
  <si>
    <t>GND</t>
  </si>
  <si>
    <t>FB</t>
  </si>
  <si>
    <t>SW</t>
  </si>
  <si>
    <t>CIN</t>
  </si>
  <si>
    <t>µH</t>
  </si>
  <si>
    <t>µF</t>
  </si>
  <si>
    <t>Cinmin</t>
  </si>
  <si>
    <t>CinEsrMax</t>
  </si>
  <si>
    <t>Output =</t>
  </si>
  <si>
    <t>Step 1: Operating Specifications</t>
  </si>
  <si>
    <t>°C</t>
  </si>
  <si>
    <r>
      <t>mV</t>
    </r>
    <r>
      <rPr>
        <vertAlign val="subscript"/>
        <sz val="10"/>
        <rFont val="Arial"/>
        <family val="2"/>
      </rPr>
      <t>pk-pk</t>
    </r>
  </si>
  <si>
    <t xml:space="preserve">Input Capacitor ESR </t>
  </si>
  <si>
    <t>About</t>
  </si>
  <si>
    <t>xx</t>
  </si>
  <si>
    <t>Max ESR before ripple exceeds Vripple1</t>
  </si>
  <si>
    <t>Chosen ESR</t>
  </si>
  <si>
    <t>Input capacitance series resistance (ESR)</t>
  </si>
  <si>
    <r>
      <t>VIN</t>
    </r>
    <r>
      <rPr>
        <vertAlign val="subscript"/>
        <sz val="10"/>
        <rFont val="Arial"/>
        <family val="2"/>
      </rPr>
      <t>UVLO_ON</t>
    </r>
  </si>
  <si>
    <t>Rising UVLO/EN Threshold</t>
  </si>
  <si>
    <t>Falling UVLO/EN Threshold</t>
  </si>
  <si>
    <t>kΩ</t>
  </si>
  <si>
    <r>
      <t>VIN</t>
    </r>
    <r>
      <rPr>
        <vertAlign val="subscript"/>
        <sz val="10"/>
        <rFont val="Arial"/>
        <family val="2"/>
      </rPr>
      <t>UVLO_ON_ACTUAL</t>
    </r>
  </si>
  <si>
    <r>
      <t>VIN</t>
    </r>
    <r>
      <rPr>
        <vertAlign val="subscript"/>
        <sz val="10"/>
        <rFont val="Arial"/>
        <family val="2"/>
      </rPr>
      <t>UVLO_OFF_ACTUAL</t>
    </r>
  </si>
  <si>
    <t>Size</t>
  </si>
  <si>
    <t>MFR</t>
  </si>
  <si>
    <t>Std</t>
  </si>
  <si>
    <t>0603</t>
  </si>
  <si>
    <r>
      <t>C</t>
    </r>
    <r>
      <rPr>
        <vertAlign val="subscript"/>
        <sz val="10"/>
        <rFont val="Arial"/>
        <family val="2"/>
      </rPr>
      <t>IN</t>
    </r>
  </si>
  <si>
    <r>
      <t>C</t>
    </r>
    <r>
      <rPr>
        <vertAlign val="subscript"/>
        <sz val="10"/>
        <rFont val="Arial"/>
        <family val="2"/>
      </rPr>
      <t>OUT</t>
    </r>
  </si>
  <si>
    <t>Ref Des</t>
  </si>
  <si>
    <t>Count</t>
  </si>
  <si>
    <t>Various</t>
  </si>
  <si>
    <t>-</t>
  </si>
  <si>
    <r>
      <t>R</t>
    </r>
    <r>
      <rPr>
        <vertAlign val="subscript"/>
        <sz val="10"/>
        <rFont val="Arial"/>
        <family val="2"/>
      </rPr>
      <t>UV1</t>
    </r>
  </si>
  <si>
    <r>
      <t>R</t>
    </r>
    <r>
      <rPr>
        <vertAlign val="subscript"/>
        <sz val="10"/>
        <rFont val="Arial"/>
        <family val="2"/>
      </rPr>
      <t>UV2</t>
    </r>
  </si>
  <si>
    <r>
      <t>U</t>
    </r>
    <r>
      <rPr>
        <b/>
        <vertAlign val="subscript"/>
        <sz val="10"/>
        <rFont val="Arial"/>
        <family val="2"/>
      </rPr>
      <t>1</t>
    </r>
  </si>
  <si>
    <t>Rpgood</t>
  </si>
  <si>
    <t>Ruv1</t>
  </si>
  <si>
    <t>Ruv2</t>
  </si>
  <si>
    <t># of input caps</t>
  </si>
  <si>
    <t>Capacitance per component (Cin)</t>
  </si>
  <si>
    <t>Capacitance per component (Cout)</t>
  </si>
  <si>
    <t># of output caps</t>
  </si>
  <si>
    <t>Ω</t>
  </si>
  <si>
    <r>
      <rPr>
        <b/>
        <u/>
        <sz val="10"/>
        <rFont val="Arial"/>
        <family val="2"/>
      </rPr>
      <t>NOTES</t>
    </r>
    <r>
      <rPr>
        <b/>
        <sz val="10"/>
        <rFont val="Arial"/>
        <family val="2"/>
      </rPr>
      <t>:</t>
    </r>
  </si>
  <si>
    <t>%/°C</t>
  </si>
  <si>
    <t>Rt</t>
  </si>
  <si>
    <r>
      <t>Output Capacitance, C</t>
    </r>
    <r>
      <rPr>
        <b/>
        <vertAlign val="subscript"/>
        <sz val="10"/>
        <rFont val="Arial"/>
        <family val="2"/>
      </rPr>
      <t>OUT</t>
    </r>
    <r>
      <rPr>
        <b/>
        <sz val="10"/>
        <rFont val="Arial"/>
        <family val="2"/>
      </rPr>
      <t xml:space="preserve"> </t>
    </r>
  </si>
  <si>
    <r>
      <t>Input Capacitance, C</t>
    </r>
    <r>
      <rPr>
        <b/>
        <vertAlign val="subscript"/>
        <sz val="10"/>
        <color theme="1"/>
        <rFont val="Arial"/>
        <family val="2"/>
      </rPr>
      <t>IN</t>
    </r>
    <r>
      <rPr>
        <b/>
        <sz val="10"/>
        <color theme="1"/>
        <rFont val="Arial"/>
        <family val="2"/>
      </rPr>
      <t xml:space="preserve"> </t>
    </r>
  </si>
  <si>
    <r>
      <t>Soft-Start Capacitance, C</t>
    </r>
    <r>
      <rPr>
        <vertAlign val="subscript"/>
        <sz val="10"/>
        <rFont val="Arial"/>
        <family val="2"/>
      </rPr>
      <t>SS</t>
    </r>
    <r>
      <rPr>
        <sz val="10"/>
        <rFont val="Arial"/>
        <family val="2"/>
      </rPr>
      <t xml:space="preserve"> </t>
    </r>
  </si>
  <si>
    <t>VIN_nom</t>
  </si>
  <si>
    <t>VIN_max</t>
  </si>
  <si>
    <t>VIN_min</t>
  </si>
  <si>
    <t>Minimum input voltage</t>
  </si>
  <si>
    <t>Maximum input voltage</t>
  </si>
  <si>
    <t>Voltage Hysteresis</t>
  </si>
  <si>
    <t>mV</t>
  </si>
  <si>
    <t>Don_Vinmin</t>
  </si>
  <si>
    <t>Don_Vinmax</t>
  </si>
  <si>
    <t>Lf</t>
  </si>
  <si>
    <t>Pout</t>
  </si>
  <si>
    <t>Iin_Vinmin</t>
  </si>
  <si>
    <t>Iin_Vinnom</t>
  </si>
  <si>
    <t>Iin_Vinmax</t>
  </si>
  <si>
    <t>Pin</t>
  </si>
  <si>
    <t>Don_Vinnom</t>
  </si>
  <si>
    <t>Output power</t>
  </si>
  <si>
    <t>Input currents at min, nom, max Vin</t>
  </si>
  <si>
    <t>Cslope_ideal</t>
  </si>
  <si>
    <t>mΩ</t>
  </si>
  <si>
    <t>Rshunt</t>
  </si>
  <si>
    <t>Output Cap RMS current</t>
  </si>
  <si>
    <t>Icoutrms_VINmin</t>
  </si>
  <si>
    <t>Icoutrms_VINnom</t>
  </si>
  <si>
    <t>Icoutrms_VINmax</t>
  </si>
  <si>
    <t>Chosen Output Capacitance</t>
  </si>
  <si>
    <t>Rout</t>
  </si>
  <si>
    <t>Load resistance</t>
  </si>
  <si>
    <t>p</t>
  </si>
  <si>
    <t>EXCEL Variables Names/Calculations</t>
  </si>
  <si>
    <t>IC Power Disipation</t>
  </si>
  <si>
    <t>Iteration</t>
  </si>
  <si>
    <t>Output Ripple Spec (pk-pk)</t>
  </si>
  <si>
    <t>Estimate of efficiency</t>
  </si>
  <si>
    <t>Soft-start time</t>
  </si>
  <si>
    <r>
      <rPr>
        <sz val="10"/>
        <rFont val="Calibri"/>
        <family val="2"/>
      </rPr>
      <t>θ</t>
    </r>
    <r>
      <rPr>
        <vertAlign val="subscript"/>
        <sz val="10"/>
        <rFont val="Arial"/>
        <family val="2"/>
      </rPr>
      <t>CA</t>
    </r>
  </si>
  <si>
    <t>Input Capacitor ESR</t>
  </si>
  <si>
    <t>RESULTS</t>
  </si>
  <si>
    <t>Reported Cinmin</t>
  </si>
  <si>
    <t>Reported Cout ESR max</t>
  </si>
  <si>
    <t>Reported Cin ESR max</t>
  </si>
  <si>
    <t>Full-load efficiency</t>
  </si>
  <si>
    <t>sec</t>
  </si>
  <si>
    <t>Toff_Vinmax</t>
  </si>
  <si>
    <t>Ton_Vinmin</t>
  </si>
  <si>
    <t>VIN range</t>
  </si>
  <si>
    <t>Current Limit</t>
  </si>
  <si>
    <t>Miscellaneous</t>
  </si>
  <si>
    <t>Inductor</t>
  </si>
  <si>
    <t xml:space="preserve">High-side MOSFET Losses </t>
  </si>
  <si>
    <t xml:space="preserve">Low-side MOSFET Losses </t>
  </si>
  <si>
    <t>Diode</t>
  </si>
  <si>
    <t>Iout (A)</t>
  </si>
  <si>
    <t>Ripple Current pk-pk (A)</t>
  </si>
  <si>
    <t>Off Time (sec)</t>
  </si>
  <si>
    <t>Switching Frequency (Hz)</t>
  </si>
  <si>
    <t>Active Mode Duration (sec)</t>
  </si>
  <si>
    <t>Sleep Mode Duration (sec)</t>
  </si>
  <si>
    <t>Irms (A)</t>
  </si>
  <si>
    <t>Inductor DCR Loss @ 25°C (W)</t>
  </si>
  <si>
    <t>Inductor Core Loss  (W)</t>
  </si>
  <si>
    <t>Total Inductor Loss (W)</t>
  </si>
  <si>
    <t>Cout ESR Loss (W)</t>
  </si>
  <si>
    <t>Total Cout Loss (W)</t>
  </si>
  <si>
    <t>Cin ESR Loss (W)</t>
  </si>
  <si>
    <t>Total Cin Loss (W)</t>
  </si>
  <si>
    <t>Rdson HS Loss @ 25°C (W)</t>
  </si>
  <si>
    <t xml:space="preserve">HS Gate Qg Loss (W)     </t>
  </si>
  <si>
    <t>HS Switching  Loss (W)</t>
  </si>
  <si>
    <t>Coss Loss (W)</t>
  </si>
  <si>
    <t>Total HS FET Loss (W)</t>
  </si>
  <si>
    <t>Rdson LS Loss @ 25°C (W)</t>
  </si>
  <si>
    <t>LS Gate Qg Loss (W)</t>
  </si>
  <si>
    <t>Reverse Recovery &amp; Leakage Losses</t>
  </si>
  <si>
    <t>DeadTime Loss @ 25°C (W)</t>
  </si>
  <si>
    <t>Total LS FET Loss (W)</t>
  </si>
  <si>
    <t>Quiescent Loss (W)</t>
  </si>
  <si>
    <t>LDO + Quiescent Loss (W)</t>
  </si>
  <si>
    <t>Total Gate Drive Loss (W)</t>
  </si>
  <si>
    <t>Total Power Loss in IC (W)</t>
  </si>
  <si>
    <t>Total Converter Power Loss (W)</t>
  </si>
  <si>
    <t>Pout (W)</t>
  </si>
  <si>
    <t>EFF (%)</t>
  </si>
  <si>
    <t>High-side MOSFET Rdson %</t>
  </si>
  <si>
    <t>Low-side MOSFET Rdson %</t>
  </si>
  <si>
    <t>Gate Drive (Qg) Loss from Vin %</t>
  </si>
  <si>
    <t>High-side MOSFET Switching Loss %</t>
  </si>
  <si>
    <t>Reverse Recovery &amp; Leakage Loss %</t>
  </si>
  <si>
    <t>Deadtime Loss %</t>
  </si>
  <si>
    <t>Inductor Cu Loss %</t>
  </si>
  <si>
    <t>Inductor Core Loss %</t>
  </si>
  <si>
    <t>Cin Cout ESR %</t>
  </si>
  <si>
    <t>Quiescent Current Loss %</t>
  </si>
  <si>
    <t>Total Loss %</t>
  </si>
  <si>
    <t>Overall Eff</t>
  </si>
  <si>
    <t>Current (mA)</t>
  </si>
  <si>
    <t>Keep for "previous" data series</t>
  </si>
  <si>
    <t>Frequency (kHz)</t>
  </si>
  <si>
    <t>Coss</t>
  </si>
  <si>
    <t>Iout(max)</t>
  </si>
  <si>
    <r>
      <rPr>
        <sz val="10"/>
        <rFont val="Arial"/>
        <family val="2"/>
      </rPr>
      <t>k</t>
    </r>
    <r>
      <rPr>
        <sz val="10"/>
        <rFont val="Symbol"/>
        <family val="1"/>
        <charset val="2"/>
      </rPr>
      <t>W</t>
    </r>
  </si>
  <si>
    <t>Tamb</t>
  </si>
  <si>
    <t>Ambient temperature</t>
  </si>
  <si>
    <t>VDD</t>
  </si>
  <si>
    <t>On-Time</t>
  </si>
  <si>
    <t>µs</t>
  </si>
  <si>
    <t>On Time - fixed</t>
  </si>
  <si>
    <t>Off Time</t>
  </si>
  <si>
    <t>Off Time - depends on Vout, L, Iout, DCR, etc.</t>
  </si>
  <si>
    <r>
      <rPr>
        <sz val="10"/>
        <rFont val="Symbol"/>
        <family val="1"/>
        <charset val="2"/>
      </rPr>
      <t>D</t>
    </r>
    <r>
      <rPr>
        <sz val="10"/>
        <rFont val="Arial"/>
        <family val="2"/>
      </rPr>
      <t>I</t>
    </r>
    <r>
      <rPr>
        <vertAlign val="subscript"/>
        <sz val="10"/>
        <rFont val="Arial"/>
        <family val="2"/>
      </rPr>
      <t>L</t>
    </r>
  </si>
  <si>
    <t>Inductor pk-pk ripple current in CCM</t>
  </si>
  <si>
    <t>CCM Freq</t>
  </si>
  <si>
    <t>Frequency in CCM</t>
  </si>
  <si>
    <t>Switch rise time</t>
  </si>
  <si>
    <t>Switch fall time</t>
  </si>
  <si>
    <t>Filter inductance</t>
  </si>
  <si>
    <r>
      <rPr>
        <sz val="10"/>
        <rFont val="Arial"/>
        <family val="2"/>
      </rPr>
      <t>m</t>
    </r>
    <r>
      <rPr>
        <sz val="10"/>
        <rFont val="Symbol"/>
        <family val="1"/>
        <charset val="2"/>
      </rPr>
      <t>W</t>
    </r>
  </si>
  <si>
    <t>Kcore</t>
  </si>
  <si>
    <t>RCinESR</t>
  </si>
  <si>
    <t>Input capacitor ESR</t>
  </si>
  <si>
    <t>Output capacitance</t>
  </si>
  <si>
    <t>RCoutESR</t>
  </si>
  <si>
    <t>Output capacitor ESR</t>
  </si>
  <si>
    <t>µA</t>
  </si>
  <si>
    <t>FOM</t>
  </si>
  <si>
    <r>
      <t>m</t>
    </r>
    <r>
      <rPr>
        <sz val="10"/>
        <rFont val="Times New Roman"/>
        <family val="1"/>
      </rPr>
      <t>Ω*</t>
    </r>
    <r>
      <rPr>
        <sz val="10"/>
        <rFont val="Arial"/>
        <family val="2"/>
      </rPr>
      <t>nC</t>
    </r>
  </si>
  <si>
    <t>BDserR</t>
  </si>
  <si>
    <t>Series resistance of body diode</t>
  </si>
  <si>
    <t>Reverse recovery charge of body diode at 100mA</t>
  </si>
  <si>
    <t>Reverse recovery time of body diode (not used)</t>
  </si>
  <si>
    <t>μA</t>
  </si>
  <si>
    <t>Leakage current of low-side device</t>
  </si>
  <si>
    <t>Eff (%)</t>
  </si>
  <si>
    <t>Iout (mA)</t>
  </si>
  <si>
    <t>min_I</t>
  </si>
  <si>
    <t>max_I</t>
  </si>
  <si>
    <t>100mA</t>
  </si>
  <si>
    <t>rr</t>
  </si>
  <si>
    <t>1mA</t>
  </si>
  <si>
    <t>Overall Eff %</t>
  </si>
  <si>
    <t>Total Inductor Loss (mW)</t>
  </si>
  <si>
    <t>Total Power Loss in IC (mW)</t>
  </si>
  <si>
    <t>LDO + Quiescent Loss (mW)</t>
  </si>
  <si>
    <t>Vdd</t>
  </si>
  <si>
    <t>MODE</t>
  </si>
  <si>
    <t>MODE_ILIM</t>
  </si>
  <si>
    <t>MODE_SS</t>
  </si>
  <si>
    <t>COT / PFM Overall Eff</t>
  </si>
  <si>
    <t>COT / PFM Total Inductor Loss (mW)</t>
  </si>
  <si>
    <t>COT / PFM LDO + Quiescent Loss (mW)</t>
  </si>
  <si>
    <t>Soft-Start Configuration</t>
  </si>
  <si>
    <t>mW</t>
  </si>
  <si>
    <r>
      <t>Lower UVLO Resistor, R</t>
    </r>
    <r>
      <rPr>
        <vertAlign val="subscript"/>
        <sz val="10"/>
        <rFont val="Arial"/>
        <family val="2"/>
      </rPr>
      <t>UV2</t>
    </r>
  </si>
  <si>
    <r>
      <t>VIN</t>
    </r>
    <r>
      <rPr>
        <vertAlign val="subscript"/>
        <sz val="10"/>
        <rFont val="Arial"/>
        <family val="2"/>
      </rPr>
      <t>UVLO_OFF</t>
    </r>
  </si>
  <si>
    <t>Rhys</t>
  </si>
  <si>
    <t>Soft Start</t>
  </si>
  <si>
    <t>Step 3: Input &amp; Output Capacitors</t>
  </si>
  <si>
    <t>PLOT_TYPE</t>
  </si>
  <si>
    <t>FB resistor ref des shown or not?</t>
  </si>
  <si>
    <t>SHORT_ILIM</t>
  </si>
  <si>
    <t>ILIM pin shorted if 240mA selected</t>
  </si>
  <si>
    <t>ILIM resistor needed (60/120/180mA)</t>
  </si>
  <si>
    <t>Show Rt resistor ref des?</t>
  </si>
  <si>
    <r>
      <t xml:space="preserve">Estimated Thermal Impedance, </t>
    </r>
    <r>
      <rPr>
        <b/>
        <sz val="11"/>
        <rFont val="Symbol"/>
        <family val="1"/>
        <charset val="2"/>
      </rPr>
      <t>J</t>
    </r>
    <r>
      <rPr>
        <b/>
        <vertAlign val="subscript"/>
        <sz val="10"/>
        <rFont val="Arial"/>
        <family val="2"/>
      </rPr>
      <t>JA</t>
    </r>
  </si>
  <si>
    <t>Input UVLO Configuration</t>
  </si>
  <si>
    <t>MODE_UVLO</t>
  </si>
  <si>
    <t>Adjustable UVLO?</t>
  </si>
  <si>
    <t>Soft-start current</t>
  </si>
  <si>
    <t>10% load efficiency</t>
  </si>
  <si>
    <t>Required soft-start cap</t>
  </si>
  <si>
    <t>User selected SS cap</t>
  </si>
  <si>
    <t>100kΩ</t>
  </si>
  <si>
    <t>1% load efficiency</t>
  </si>
  <si>
    <t>linear scale only</t>
  </si>
  <si>
    <t>log scale only</t>
  </si>
  <si>
    <t xml:space="preserve">Minimum Input Capacitance </t>
  </si>
  <si>
    <t>Terms Of Use</t>
  </si>
  <si>
    <r>
      <rPr>
        <b/>
        <sz val="10"/>
        <rFont val="Arial"/>
        <family val="2"/>
      </rPr>
      <t>Iout</t>
    </r>
    <r>
      <rPr>
        <sz val="10"/>
        <rFont val="Arial"/>
        <family val="2"/>
      </rPr>
      <t xml:space="preserve"> Linear Axis</t>
    </r>
  </si>
  <si>
    <r>
      <rPr>
        <b/>
        <sz val="10"/>
        <rFont val="Arial"/>
        <family val="2"/>
      </rPr>
      <t>Iout</t>
    </r>
    <r>
      <rPr>
        <sz val="10"/>
        <rFont val="Arial"/>
        <family val="2"/>
      </rPr>
      <t xml:space="preserve"> Log Axis</t>
    </r>
  </si>
  <si>
    <t>UVLO</t>
  </si>
  <si>
    <t>n</t>
  </si>
  <si>
    <r>
      <t>Pk-to-Pk Ripple Current at V</t>
    </r>
    <r>
      <rPr>
        <vertAlign val="subscript"/>
        <sz val="10"/>
        <rFont val="Arial"/>
        <family val="2"/>
      </rPr>
      <t>IN(nom)</t>
    </r>
    <r>
      <rPr>
        <sz val="10"/>
        <rFont val="Arial"/>
        <family val="2"/>
      </rPr>
      <t xml:space="preserve">, </t>
    </r>
    <r>
      <rPr>
        <sz val="10"/>
        <rFont val="Symbol"/>
        <family val="1"/>
        <charset val="2"/>
      </rPr>
      <t>D</t>
    </r>
    <r>
      <rPr>
        <sz val="10"/>
        <rFont val="Arial"/>
        <family val="2"/>
      </rPr>
      <t>IL</t>
    </r>
  </si>
  <si>
    <t>SW Fall Time (ns)</t>
  </si>
  <si>
    <t>Peak Current (A)</t>
  </si>
  <si>
    <t>Valley Current (A)</t>
  </si>
  <si>
    <t>SW Rise Time (ns)</t>
  </si>
  <si>
    <t>Csw</t>
  </si>
  <si>
    <t>Capacitance (Coss)</t>
  </si>
  <si>
    <t>Operating Quiescent Current (A)</t>
  </si>
  <si>
    <t>6.3V</t>
  </si>
  <si>
    <t>10V</t>
  </si>
  <si>
    <t>16V</t>
  </si>
  <si>
    <t>25V</t>
  </si>
  <si>
    <t>Cout Voltage Rating</t>
  </si>
  <si>
    <t>Vout&lt;=5V</t>
  </si>
  <si>
    <t>Vout&lt;=20V</t>
  </si>
  <si>
    <t>Vout&lt;=8V</t>
  </si>
  <si>
    <t>Vout&lt;=12V</t>
  </si>
  <si>
    <t>50V</t>
  </si>
  <si>
    <t>Vout&gt;20V</t>
  </si>
  <si>
    <t>BOM display</t>
  </si>
  <si>
    <t>COT / PFM Total Power Loss in IC (mW)</t>
  </si>
  <si>
    <t>0402</t>
  </si>
  <si>
    <t>0805</t>
  </si>
  <si>
    <t>1206</t>
  </si>
  <si>
    <t>1210</t>
  </si>
  <si>
    <t>Component Size</t>
  </si>
  <si>
    <t>Footprint (mm)</t>
  </si>
  <si>
    <t>1.0 x 0.5</t>
  </si>
  <si>
    <t>6mm x 6mm</t>
  </si>
  <si>
    <t>7mm x 7mm</t>
  </si>
  <si>
    <t>3.2 x 1.6</t>
  </si>
  <si>
    <t>1.6 x 0.8</t>
  </si>
  <si>
    <t>2.0 x 1.25</t>
  </si>
  <si>
    <t>3.2 x 2.5</t>
  </si>
  <si>
    <t>4.0 x 4.0</t>
  </si>
  <si>
    <r>
      <t>Area (mm</t>
    </r>
    <r>
      <rPr>
        <b/>
        <vertAlign val="superscript"/>
        <sz val="10"/>
        <color theme="0"/>
        <rFont val="Arial"/>
        <family val="2"/>
      </rPr>
      <t>2</t>
    </r>
    <r>
      <rPr>
        <b/>
        <sz val="10"/>
        <color theme="0"/>
        <rFont val="Arial"/>
        <family val="2"/>
      </rPr>
      <t>)</t>
    </r>
  </si>
  <si>
    <t>TI</t>
  </si>
  <si>
    <r>
      <t>in</t>
    </r>
    <r>
      <rPr>
        <b/>
        <vertAlign val="superscript"/>
        <sz val="12"/>
        <color rgb="FFFF0000"/>
        <rFont val="Arial"/>
        <family val="2"/>
      </rPr>
      <t>2</t>
    </r>
  </si>
  <si>
    <t>Total Solution Size (buffered by 25%)</t>
  </si>
  <si>
    <t>** Appropriately derate effective input and output capacitances for applied voltage and temperature, particularly with ceramics **</t>
  </si>
  <si>
    <r>
      <t>mm</t>
    </r>
    <r>
      <rPr>
        <b/>
        <vertAlign val="superscript"/>
        <sz val="12"/>
        <color rgb="FFFF0000"/>
        <rFont val="Arial"/>
        <family val="2"/>
      </rPr>
      <t>2</t>
    </r>
    <r>
      <rPr>
        <b/>
        <sz val="12"/>
        <color rgb="FFFF0000"/>
        <rFont val="Arial"/>
        <family val="2"/>
      </rPr>
      <t xml:space="preserve">  =</t>
    </r>
  </si>
  <si>
    <t>Std Value Lower Feedback Resistance</t>
  </si>
  <si>
    <t>Step 2: Flyback Transformer</t>
  </si>
  <si>
    <t>SINGLE/DUAL OUTPUT</t>
  </si>
  <si>
    <t>SINGLE</t>
  </si>
  <si>
    <t>DUAL</t>
  </si>
  <si>
    <t>YES</t>
  </si>
  <si>
    <t>NO</t>
  </si>
  <si>
    <r>
      <t>Magnetizing Inductance, L</t>
    </r>
    <r>
      <rPr>
        <b/>
        <vertAlign val="subscript"/>
        <sz val="10"/>
        <color theme="1"/>
        <rFont val="Arial"/>
        <family val="2"/>
      </rPr>
      <t>MAG</t>
    </r>
    <r>
      <rPr>
        <b/>
        <sz val="10"/>
        <color theme="1"/>
        <rFont val="Arial"/>
        <family val="2"/>
      </rPr>
      <t xml:space="preserve"> </t>
    </r>
  </si>
  <si>
    <t>Single Output or Dual Outputs</t>
  </si>
  <si>
    <r>
      <t>Input Voltage – Min, V</t>
    </r>
    <r>
      <rPr>
        <b/>
        <vertAlign val="subscript"/>
        <sz val="10"/>
        <color theme="1"/>
        <rFont val="Arial"/>
        <family val="2"/>
      </rPr>
      <t>IN(min)</t>
    </r>
    <r>
      <rPr>
        <b/>
        <sz val="10"/>
        <color theme="1"/>
        <rFont val="Arial"/>
        <family val="2"/>
      </rPr>
      <t xml:space="preserve"> </t>
    </r>
  </si>
  <si>
    <r>
      <t>Input Voltage – Nom, V</t>
    </r>
    <r>
      <rPr>
        <b/>
        <vertAlign val="subscript"/>
        <sz val="10"/>
        <color theme="1"/>
        <rFont val="Arial"/>
        <family val="2"/>
      </rPr>
      <t>IN(nom)</t>
    </r>
  </si>
  <si>
    <r>
      <t>Input Voltage – Max, V</t>
    </r>
    <r>
      <rPr>
        <b/>
        <vertAlign val="subscript"/>
        <sz val="10"/>
        <color theme="1"/>
        <rFont val="Arial"/>
        <family val="2"/>
      </rPr>
      <t>IN(max)</t>
    </r>
  </si>
  <si>
    <r>
      <t>Selected Feedback Resistor, R</t>
    </r>
    <r>
      <rPr>
        <b/>
        <vertAlign val="subscript"/>
        <sz val="10"/>
        <rFont val="Arial"/>
        <family val="2"/>
      </rPr>
      <t>FB</t>
    </r>
  </si>
  <si>
    <t>Recommended Feedback Resistor</t>
  </si>
  <si>
    <t>Current Hysteresis</t>
  </si>
  <si>
    <t>Current after UVLO (rising)</t>
  </si>
  <si>
    <t>Current before UVLO (rising)</t>
  </si>
  <si>
    <r>
      <t>Upper UVLO Resistor, R</t>
    </r>
    <r>
      <rPr>
        <vertAlign val="subscript"/>
        <sz val="10"/>
        <rFont val="Arial"/>
        <family val="2"/>
      </rPr>
      <t>UV1</t>
    </r>
  </si>
  <si>
    <t>12.1 kΩ</t>
  </si>
  <si>
    <t>Show TC resistor ref des?</t>
  </si>
  <si>
    <t>TC YES/NO</t>
  </si>
  <si>
    <t>MODE_TC</t>
  </si>
  <si>
    <t>Rtc</t>
  </si>
  <si>
    <t>RSET resistor</t>
  </si>
  <si>
    <t>SS Cap</t>
  </si>
  <si>
    <t>mV/°C</t>
  </si>
  <si>
    <t>VOUT Thermal Compensation</t>
  </si>
  <si>
    <r>
      <t>Thermal Compensation Resistor, R</t>
    </r>
    <r>
      <rPr>
        <vertAlign val="subscript"/>
        <sz val="10"/>
        <rFont val="Arial"/>
        <family val="2"/>
      </rPr>
      <t>TC</t>
    </r>
  </si>
  <si>
    <t>Step 4: Feedback, Soft-start, TC, UVLO</t>
  </si>
  <si>
    <t>FB resistor</t>
  </si>
  <si>
    <t>Turns Ratio</t>
  </si>
  <si>
    <t>Rdcr_pri</t>
  </si>
  <si>
    <t>Rfb</t>
  </si>
  <si>
    <r>
      <t>Internal P</t>
    </r>
    <r>
      <rPr>
        <vertAlign val="subscript"/>
        <sz val="10"/>
        <rFont val="Arial"/>
        <family val="2"/>
      </rPr>
      <t>DISS</t>
    </r>
    <r>
      <rPr>
        <sz val="10"/>
        <rFont val="Arial"/>
        <family val="2"/>
      </rPr>
      <t xml:space="preserve"> at Full Load</t>
    </r>
  </si>
  <si>
    <t>Turns_Ratio</t>
  </si>
  <si>
    <t>Transformer Turns Ratio</t>
  </si>
  <si>
    <t>Schematic variable defined:</t>
  </si>
  <si>
    <t>Flyback MOSFET</t>
  </si>
  <si>
    <t>Rdson</t>
  </si>
  <si>
    <t>Qg</t>
  </si>
  <si>
    <t>Converter</t>
  </si>
  <si>
    <t>Gate charge of MOSFET @ VDD</t>
  </si>
  <si>
    <t>Drain-source resistance of MOSFET @ VDD, 25°C</t>
  </si>
  <si>
    <t>Flyback Diode</t>
  </si>
  <si>
    <t>Peak switch current</t>
  </si>
  <si>
    <t>Isw_max</t>
  </si>
  <si>
    <t>Qrr_Dfly</t>
  </si>
  <si>
    <t>Trr_Dfly</t>
  </si>
  <si>
    <t>Pout-max (W)</t>
  </si>
  <si>
    <t>Iout-max (A)</t>
  </si>
  <si>
    <t>Pout-max (W) at Vin-nom</t>
  </si>
  <si>
    <t>Iout-max (A) at Vin-nom</t>
  </si>
  <si>
    <t>Vsw-max (V) at Vin-nom</t>
  </si>
  <si>
    <t>Isw_min</t>
  </si>
  <si>
    <t>Min peak switch current</t>
  </si>
  <si>
    <t>Efficiency estimate</t>
  </si>
  <si>
    <t>Fsw_max</t>
  </si>
  <si>
    <t>Max Fsw</t>
  </si>
  <si>
    <t>Vin (V)</t>
  </si>
  <si>
    <t>Vsw-max (V)</t>
  </si>
  <si>
    <t>Isw (A)</t>
  </si>
  <si>
    <t>Ton-BCM (us)</t>
  </si>
  <si>
    <t>Toff-BCM (us)</t>
  </si>
  <si>
    <t>Ipri-min-BCM (A)</t>
  </si>
  <si>
    <t>Vout-Reflected (V)</t>
  </si>
  <si>
    <t>Fsw-BCM (kHz) at Iout-max</t>
  </si>
  <si>
    <t>Fsw-max-BCM (kHz)</t>
  </si>
  <si>
    <t>Voltages</t>
  </si>
  <si>
    <t>Toff-min-BCM (us)</t>
  </si>
  <si>
    <t>Iout-min-BCM (A)</t>
  </si>
  <si>
    <t>Toff-FFB (us)</t>
  </si>
  <si>
    <t xml:space="preserve">Fsw-BCM (kHz) </t>
  </si>
  <si>
    <t>Fsw-FFB (kHz)</t>
  </si>
  <si>
    <t>Iout-max-FFB (A)</t>
  </si>
  <si>
    <t>Fsw_DCM</t>
  </si>
  <si>
    <t>Ipri-DCM (A)</t>
  </si>
  <si>
    <t>Ipri (A)</t>
  </si>
  <si>
    <t>COMP (V)</t>
  </si>
  <si>
    <t>Fsw (kHz)</t>
  </si>
  <si>
    <t>Vout-actual (V)</t>
  </si>
  <si>
    <t>VIN-min</t>
  </si>
  <si>
    <t>VIN-max</t>
  </si>
  <si>
    <t>Vout_ripple</t>
  </si>
  <si>
    <t>Actual Output Ripple</t>
  </si>
  <si>
    <t>Ton at Full Load, Vin-nom</t>
  </si>
  <si>
    <t>Input voltage ripple spec (pk-pk) at Vin(nom) = 5%</t>
  </si>
  <si>
    <t>Input voltage ripple - Vinripple2</t>
  </si>
  <si>
    <t>Input current, full load, Vin(nom)</t>
  </si>
  <si>
    <t>Toff, Vin(nom)</t>
  </si>
  <si>
    <t>mVpk-pk</t>
  </si>
  <si>
    <t>Vpk-pk</t>
  </si>
  <si>
    <t>Peak primary current, full load, Vin(nom)</t>
  </si>
  <si>
    <t>Vinripple2</t>
  </si>
  <si>
    <t>Nps</t>
  </si>
  <si>
    <t>Rdcr_sec</t>
  </si>
  <si>
    <t>Rdcr_sec2</t>
  </si>
  <si>
    <t>Primary winding DCR</t>
  </si>
  <si>
    <t>Secondary winding DCR</t>
  </si>
  <si>
    <t>Chosen mag inductance</t>
  </si>
  <si>
    <t>Transformer Size</t>
  </si>
  <si>
    <t>1% Vout ripple spec</t>
  </si>
  <si>
    <t>Calculate input power assuming initial efficiency estimate</t>
  </si>
  <si>
    <t>Ipri-rms (A)</t>
  </si>
  <si>
    <t>Isec-rms (A)</t>
  </si>
  <si>
    <t>PCu-pri (W)</t>
  </si>
  <si>
    <t>PCu-sec (W)</t>
  </si>
  <si>
    <t>On/Off Times and Eff Duty Cycle</t>
  </si>
  <si>
    <t>Ton (µs)</t>
  </si>
  <si>
    <t>Toff (µs)</t>
  </si>
  <si>
    <t>Toff-FFB (µs)</t>
  </si>
  <si>
    <t>Toff-min-BCM (µs)</t>
  </si>
  <si>
    <t>Toff-BCM (µs)</t>
  </si>
  <si>
    <t>Ton-BCM (µs)</t>
  </si>
  <si>
    <t>Tsw (µs)</t>
  </si>
  <si>
    <t>Core Loss (W)</t>
  </si>
  <si>
    <t>P-FET-Coss (W)</t>
  </si>
  <si>
    <t>Cin / Cout</t>
  </si>
  <si>
    <t>RMS Currents</t>
  </si>
  <si>
    <t>Effective SW node capacitance (Ctr + Cdiode_refl)</t>
  </si>
  <si>
    <t>P-FET-Qg (W)</t>
  </si>
  <si>
    <t>P-FET-Cond (W)</t>
  </si>
  <si>
    <t>P-FET-Sw (W)</t>
  </si>
  <si>
    <t>P-Diode-Cond (W)</t>
  </si>
  <si>
    <t>P-Diode-Leak (W)</t>
  </si>
  <si>
    <r>
      <t>P-I</t>
    </r>
    <r>
      <rPr>
        <b/>
        <vertAlign val="subscript"/>
        <sz val="10"/>
        <rFont val="Arial"/>
        <family val="2"/>
      </rPr>
      <t>Q</t>
    </r>
    <r>
      <rPr>
        <b/>
        <sz val="10"/>
        <rFont val="Arial"/>
        <family val="2"/>
      </rPr>
      <t xml:space="preserve"> (W)</t>
    </r>
  </si>
  <si>
    <t>Core loss constant - consult transformer vendor</t>
  </si>
  <si>
    <t>Transformer primary winding DCR at 25°C</t>
  </si>
  <si>
    <t>LM5180 quiescent current</t>
  </si>
  <si>
    <t>Cout (µF) for 1% ripple</t>
  </si>
  <si>
    <t>Cin (µF) for 10% ripple</t>
  </si>
  <si>
    <t>P-Loss-Total (W)</t>
  </si>
  <si>
    <t>P-Diode-Snubber (W)</t>
  </si>
  <si>
    <t>P-LeakL-Clamp/Snub (W)</t>
  </si>
  <si>
    <t>Efficiency (%)</t>
  </si>
  <si>
    <t>P-Trans-Total (W)</t>
  </si>
  <si>
    <t>P-Diode-Total (W)</t>
  </si>
  <si>
    <t>I_LEAK</t>
  </si>
  <si>
    <t>Flyback Diode Loss</t>
  </si>
  <si>
    <t>Transformer Loss</t>
  </si>
  <si>
    <t>P-IC-Total (mW)</t>
  </si>
  <si>
    <t>Half-load efficiency</t>
  </si>
  <si>
    <t>IC Loss</t>
  </si>
  <si>
    <t>Nps1</t>
  </si>
  <si>
    <t>Nps2</t>
  </si>
  <si>
    <t>Step 5: Power Losses &amp; Thermals</t>
  </si>
  <si>
    <t xml:space="preserve">Resulting Input Voltage Ripple </t>
  </si>
  <si>
    <t>Check Iout-max</t>
  </si>
  <si>
    <t>Iout2</t>
  </si>
  <si>
    <t>Rout2</t>
  </si>
  <si>
    <t>Pout2</t>
  </si>
  <si>
    <t>Load resistance #2</t>
  </si>
  <si>
    <t>Output power #2</t>
  </si>
  <si>
    <t xml:space="preserve">Total Output Power </t>
  </si>
  <si>
    <t>Total power</t>
  </si>
  <si>
    <t>LM5180 Parameters</t>
  </si>
  <si>
    <r>
      <t>Ambient Temperature, T</t>
    </r>
    <r>
      <rPr>
        <b/>
        <vertAlign val="subscript"/>
        <sz val="10"/>
        <rFont val="Arial"/>
        <family val="2"/>
      </rPr>
      <t>A</t>
    </r>
  </si>
  <si>
    <t>BIPOLAR</t>
  </si>
  <si>
    <t>Vinripple1 - Input ripple spec</t>
  </si>
  <si>
    <t>OUTPUT CURRENT #2 - BIPOLAR</t>
  </si>
  <si>
    <t>OUTPUT CURRENT #2 - DUAL</t>
  </si>
  <si>
    <t>Output Cap(s)</t>
  </si>
  <si>
    <t>Input Cap(s)</t>
  </si>
  <si>
    <t>Diode Ref Des</t>
  </si>
  <si>
    <r>
      <t>D</t>
    </r>
    <r>
      <rPr>
        <vertAlign val="subscript"/>
        <sz val="10"/>
        <rFont val="Arial"/>
        <family val="2"/>
      </rPr>
      <t>FLY1</t>
    </r>
  </si>
  <si>
    <t>Cin (µF) for 5% ripple</t>
  </si>
  <si>
    <t>Calculations are performed at Vin(nom), Vin(min) and Vin(max) below</t>
  </si>
  <si>
    <r>
      <t>R</t>
    </r>
    <r>
      <rPr>
        <vertAlign val="subscript"/>
        <sz val="10"/>
        <rFont val="Arial"/>
        <family val="2"/>
      </rPr>
      <t>TC</t>
    </r>
  </si>
  <si>
    <t>Feedback Resistance - chosen by user</t>
  </si>
  <si>
    <t>Step 8: FB and TC Resistors</t>
  </si>
  <si>
    <t>Selected Rfb</t>
  </si>
  <si>
    <t>Feedback Resistance - recommneded to user</t>
  </si>
  <si>
    <t>Diode TC</t>
  </si>
  <si>
    <t>Standard Value RTC</t>
  </si>
  <si>
    <t>WSON-8</t>
  </si>
  <si>
    <r>
      <t>Low I</t>
    </r>
    <r>
      <rPr>
        <b/>
        <vertAlign val="subscript"/>
        <sz val="16"/>
        <rFont val="Arial"/>
        <family val="2"/>
      </rPr>
      <t>Q</t>
    </r>
    <r>
      <rPr>
        <b/>
        <sz val="16"/>
        <rFont val="Arial"/>
        <family val="2"/>
      </rPr>
      <t>, High Efficiency, PSR Flyback Converter BOM</t>
    </r>
  </si>
  <si>
    <r>
      <t>T</t>
    </r>
    <r>
      <rPr>
        <vertAlign val="subscript"/>
        <sz val="10"/>
        <rFont val="Arial"/>
        <family val="2"/>
      </rPr>
      <t>1</t>
    </r>
  </si>
  <si>
    <r>
      <t>R</t>
    </r>
    <r>
      <rPr>
        <vertAlign val="subscript"/>
        <sz val="10"/>
        <rFont val="Arial"/>
        <family val="2"/>
      </rPr>
      <t>FB</t>
    </r>
  </si>
  <si>
    <t>Primary Winding DCR</t>
  </si>
  <si>
    <t>FUNCTIONAL</t>
  </si>
  <si>
    <t>BASIC</t>
  </si>
  <si>
    <t>REINFORCED</t>
  </si>
  <si>
    <t>Isolation Grade</t>
  </si>
  <si>
    <t>Output #1</t>
  </si>
  <si>
    <t>Output #2</t>
  </si>
  <si>
    <t>12.1kΩ</t>
  </si>
  <si>
    <r>
      <t>Output Capacitance, C</t>
    </r>
    <r>
      <rPr>
        <b/>
        <vertAlign val="subscript"/>
        <sz val="10"/>
        <rFont val="Arial"/>
        <family val="2"/>
      </rPr>
      <t>OUT2</t>
    </r>
    <r>
      <rPr>
        <b/>
        <sz val="10"/>
        <rFont val="Arial"/>
        <family val="2"/>
      </rPr>
      <t xml:space="preserve"> </t>
    </r>
  </si>
  <si>
    <t>Output Capacitor ESR</t>
  </si>
  <si>
    <t>Adjustable</t>
  </si>
  <si>
    <t>Internal</t>
  </si>
  <si>
    <t>Primary winding DCR at hot</t>
  </si>
  <si>
    <t>Secondary winding DCR at hot</t>
  </si>
  <si>
    <t>Secondary winding #2 DCR at hot</t>
  </si>
  <si>
    <t>Temp - Hot</t>
  </si>
  <si>
    <t>Secondary winding #2 DCR</t>
  </si>
  <si>
    <t>Output Ripple Spec (pk-pk) #2</t>
  </si>
  <si>
    <t>Cout2</t>
  </si>
  <si>
    <t>Coutmin2</t>
  </si>
  <si>
    <t>Reported Cout ESR max #2</t>
  </si>
  <si>
    <t>CoutEsr2</t>
  </si>
  <si>
    <t>1% Vout2 ripple spec</t>
  </si>
  <si>
    <t>Vout_ripple2</t>
  </si>
  <si>
    <t>Check min Ton and Toff times</t>
  </si>
  <si>
    <t>Transformer DCR Temp Co</t>
  </si>
  <si>
    <t>Transformer Core-to-Ambient Thermal Resistance</t>
  </si>
  <si>
    <r>
      <t>D</t>
    </r>
    <r>
      <rPr>
        <vertAlign val="subscript"/>
        <sz val="10"/>
        <rFont val="Arial"/>
        <family val="2"/>
      </rPr>
      <t>FLY2</t>
    </r>
    <r>
      <rPr>
        <sz val="11"/>
        <color theme="1"/>
        <rFont val="Arial"/>
        <family val="2"/>
      </rPr>
      <t/>
    </r>
  </si>
  <si>
    <t>EN/UVLO</t>
  </si>
  <si>
    <t>SS/BIAS</t>
  </si>
  <si>
    <t>TC</t>
  </si>
  <si>
    <t>RSET</t>
  </si>
  <si>
    <t>Step 7: UVLO Resistors</t>
  </si>
  <si>
    <t>Step 2: Circuit Configuration for Single/Dual Output, Int/Adj UVLO, Int/Adj SS, Yes/No TC</t>
  </si>
  <si>
    <t>Step 3: Flyback Transformer</t>
  </si>
  <si>
    <t>Step 3: Output Capacitor(s)</t>
  </si>
  <si>
    <t>DUAL OUTPUT</t>
  </si>
  <si>
    <t>check Ton for dual output…</t>
  </si>
  <si>
    <t>check Vripple variable name…</t>
  </si>
  <si>
    <t>Output voltage</t>
  </si>
  <si>
    <t>Maximum output current #2</t>
  </si>
  <si>
    <t>Output voltage #2</t>
  </si>
  <si>
    <t>DCM switching frequency</t>
  </si>
  <si>
    <t>Reference voltage</t>
  </si>
  <si>
    <t>Feedback resistor</t>
  </si>
  <si>
    <t>Power dissipation</t>
  </si>
  <si>
    <t>check…</t>
  </si>
  <si>
    <t>Turns_Ratio2</t>
  </si>
  <si>
    <t>Single Output or Dual 1st Output</t>
  </si>
  <si>
    <t>SEC1 to SEC2</t>
  </si>
  <si>
    <t>Nsec1sec2</t>
  </si>
  <si>
    <t>Scale</t>
  </si>
  <si>
    <t>PRI : SEC1 : SEC2</t>
  </si>
  <si>
    <t>Turns Ratio, PRI : SEC2</t>
  </si>
  <si>
    <t>TR primary-secondary2 (dual output) = Np/Nsec2</t>
  </si>
  <si>
    <t>TR sec1-sec2 (dual output) = Nsec1/Nsec2</t>
  </si>
  <si>
    <t>Iout2 (A)</t>
  </si>
  <si>
    <t>Iout1 (A)</t>
  </si>
  <si>
    <t>Pout1 (W)</t>
  </si>
  <si>
    <t>Pout2 (W)</t>
  </si>
  <si>
    <t>Iout1-max (A)</t>
  </si>
  <si>
    <t>Iout2-max (A)</t>
  </si>
  <si>
    <t>Vout1-actual (V)</t>
  </si>
  <si>
    <t>Vout1-Reflected (V)</t>
  </si>
  <si>
    <t>Iout1-min-BCM (A)</t>
  </si>
  <si>
    <t>Iout1-max-FFB (A)</t>
  </si>
  <si>
    <t>Turns Ratio, SEC1 : SEC2</t>
  </si>
  <si>
    <t>Pout1-max (W)</t>
  </si>
  <si>
    <t>Cout1 (µF) for 1% ripple</t>
  </si>
  <si>
    <t>Cout2 (µF) for 1% ripple</t>
  </si>
  <si>
    <t>Min 1uF</t>
  </si>
  <si>
    <t>Vripple1_spec</t>
  </si>
  <si>
    <t>Vripple2_actual</t>
  </si>
  <si>
    <t>Vripple1_actual</t>
  </si>
  <si>
    <t>Vripple2_spec</t>
  </si>
  <si>
    <t>Isec2-rms (A)</t>
  </si>
  <si>
    <t>Isec1-rms (A)</t>
  </si>
  <si>
    <t>P-Diode2-Cond (W)</t>
  </si>
  <si>
    <t>P-Diode1-Cond (W)</t>
  </si>
  <si>
    <t>PCu-sec2 (W)</t>
  </si>
  <si>
    <t>PCu-sec1 (W)</t>
  </si>
  <si>
    <t>Iout1 (%)</t>
  </si>
  <si>
    <r>
      <t>Max Output Power at V</t>
    </r>
    <r>
      <rPr>
        <vertAlign val="subscript"/>
        <sz val="10"/>
        <rFont val="Arial"/>
        <family val="2"/>
      </rPr>
      <t>IN(min)</t>
    </r>
  </si>
  <si>
    <t>Pout2-max (W)</t>
  </si>
  <si>
    <t>Max Pout at Vin-min</t>
  </si>
  <si>
    <t>Vout2 - absolute value</t>
  </si>
  <si>
    <t>Vout2 - with polarity</t>
  </si>
  <si>
    <t xml:space="preserve">Diode reverse voltage </t>
  </si>
  <si>
    <t>8mm x 8mm</t>
  </si>
  <si>
    <t>9mm x 9mm</t>
  </si>
  <si>
    <t>10mm x 10mm</t>
  </si>
  <si>
    <t>10mm x 12mm</t>
  </si>
  <si>
    <t>11mm x 13mm</t>
  </si>
  <si>
    <t>10 x 12</t>
  </si>
  <si>
    <t>10 x 10</t>
  </si>
  <si>
    <t>9 x 9</t>
  </si>
  <si>
    <t>8 x 8</t>
  </si>
  <si>
    <t>7 x 7</t>
  </si>
  <si>
    <t>6 x 6</t>
  </si>
  <si>
    <t>11 x 13</t>
  </si>
  <si>
    <r>
      <t>D</t>
    </r>
    <r>
      <rPr>
        <vertAlign val="subscript"/>
        <sz val="10"/>
        <rFont val="Arial"/>
        <family val="2"/>
      </rPr>
      <t>CLAMP</t>
    </r>
  </si>
  <si>
    <t>24V</t>
  </si>
  <si>
    <r>
      <t>C</t>
    </r>
    <r>
      <rPr>
        <vertAlign val="subscript"/>
        <sz val="10"/>
        <rFont val="Arial"/>
        <family val="2"/>
      </rPr>
      <t>OUT2</t>
    </r>
  </si>
  <si>
    <r>
      <t>D</t>
    </r>
    <r>
      <rPr>
        <vertAlign val="subscript"/>
        <sz val="10"/>
        <rFont val="Arial"/>
        <family val="2"/>
      </rPr>
      <t>FLY2</t>
    </r>
  </si>
  <si>
    <r>
      <t>D</t>
    </r>
    <r>
      <rPr>
        <vertAlign val="subscript"/>
        <sz val="10"/>
        <rFont val="Arial"/>
        <family val="2"/>
      </rPr>
      <t>FLY</t>
    </r>
  </si>
  <si>
    <r>
      <t>D</t>
    </r>
    <r>
      <rPr>
        <vertAlign val="subscript"/>
        <sz val="10"/>
        <rFont val="Arial"/>
        <family val="2"/>
      </rPr>
      <t>F</t>
    </r>
    <r>
      <rPr>
        <sz val="11"/>
        <color theme="1"/>
        <rFont val="Arial"/>
        <family val="2"/>
      </rPr>
      <t/>
    </r>
  </si>
  <si>
    <r>
      <t>R</t>
    </r>
    <r>
      <rPr>
        <vertAlign val="subscript"/>
        <sz val="10"/>
        <rFont val="Arial"/>
        <family val="2"/>
      </rPr>
      <t>SET</t>
    </r>
  </si>
  <si>
    <t>*** Use primary-side RC snubber from SW to VIN to dampen leakage inductance spike ***</t>
  </si>
  <si>
    <t>**** Use flyback diode RC snubber to dampen ringing if needed ****</t>
  </si>
  <si>
    <t>SOD323</t>
  </si>
  <si>
    <t>SOD123</t>
  </si>
  <si>
    <t>SMA</t>
  </si>
  <si>
    <t>Footprint</t>
  </si>
  <si>
    <t>Area</t>
  </si>
  <si>
    <t>Diode Size</t>
  </si>
  <si>
    <r>
      <t>D</t>
    </r>
    <r>
      <rPr>
        <vertAlign val="subscript"/>
        <sz val="10"/>
        <rFont val="Arial"/>
        <family val="2"/>
      </rPr>
      <t>OUT</t>
    </r>
  </si>
  <si>
    <t>5.0 x 2.5</t>
  </si>
  <si>
    <t>3.6 x 1.8</t>
  </si>
  <si>
    <t>2.5 x 1.25</t>
  </si>
  <si>
    <t>SOD523</t>
  </si>
  <si>
    <t>Flyback Diode - forward current rating</t>
  </si>
  <si>
    <t>Flyback Diode - reverse voltage rating</t>
  </si>
  <si>
    <t>***** Use output zener to clamp the output at no load *****</t>
  </si>
  <si>
    <r>
      <t>Flyback Diode Voltage Drop, V</t>
    </r>
    <r>
      <rPr>
        <b/>
        <vertAlign val="subscript"/>
        <sz val="10"/>
        <rFont val="Arial"/>
        <family val="2"/>
      </rPr>
      <t>D(no-load)</t>
    </r>
  </si>
  <si>
    <r>
      <t>Flyback Diode Voltage Drop, V</t>
    </r>
    <r>
      <rPr>
        <b/>
        <vertAlign val="subscript"/>
        <sz val="10"/>
        <rFont val="Arial"/>
        <family val="2"/>
      </rPr>
      <t>D(full-load)</t>
    </r>
  </si>
  <si>
    <t>Flyback diode forward voltage at full load</t>
  </si>
  <si>
    <t>Flyback diode forward voltage at no load</t>
  </si>
  <si>
    <t>Vfwd1</t>
  </si>
  <si>
    <t>Vfwd2</t>
  </si>
  <si>
    <t>Transformer secondary winding DCR at 25°C</t>
  </si>
  <si>
    <t>Iout2_actual</t>
  </si>
  <si>
    <t>Maximum output current #1</t>
  </si>
  <si>
    <t>6ms Fixed</t>
  </si>
  <si>
    <t>Iout actual (A)</t>
  </si>
  <si>
    <t>Pout actual (W)</t>
  </si>
  <si>
    <t>Vout actual (V)</t>
  </si>
  <si>
    <t>Ton-diode (µs)</t>
  </si>
  <si>
    <t>Iout-actual</t>
  </si>
  <si>
    <t>Vout-actual -?</t>
  </si>
  <si>
    <t>Pout-actual (W)</t>
  </si>
  <si>
    <t>Vout-calc?</t>
  </si>
  <si>
    <r>
      <t>Duty Cycle at V</t>
    </r>
    <r>
      <rPr>
        <vertAlign val="subscript"/>
        <sz val="10"/>
        <rFont val="Arial"/>
        <family val="2"/>
      </rPr>
      <t>IN(min)</t>
    </r>
  </si>
  <si>
    <t>%</t>
  </si>
  <si>
    <t>Minimum Magnetizing Inductance</t>
  </si>
  <si>
    <t>Lmin</t>
  </si>
  <si>
    <t>Lleak</t>
  </si>
  <si>
    <t>nH</t>
  </si>
  <si>
    <t>Pri-Sec Leakage Inductance</t>
  </si>
  <si>
    <t>LM5180EVM-DUAL PCB design, 2.1" x 1.5" (55mm x 38mm)</t>
  </si>
  <si>
    <t>Check Fsw at  Iout-max</t>
  </si>
  <si>
    <t>Check Pout-max at  Iout-max</t>
  </si>
  <si>
    <t>LM5180EVM-S05 PCB Design, 2" x 1.4" (50mm x 35mm)</t>
  </si>
  <si>
    <t>P-Transforer (W)</t>
  </si>
  <si>
    <t>P-Trans-Total (mW)</t>
  </si>
  <si>
    <t>P-IC-Total (W)</t>
  </si>
  <si>
    <t>RdsonTC</t>
  </si>
  <si>
    <t>ppm/°C</t>
  </si>
  <si>
    <t>Drain to Source Resistance Temp Co</t>
  </si>
  <si>
    <t>IC thermal impedance</t>
  </si>
  <si>
    <t>ThetaJA</t>
  </si>
  <si>
    <t>P-trans (W)</t>
  </si>
  <si>
    <t>LM25180</t>
  </si>
  <si>
    <t>* Choose a transformer with saturation current rating higher than the max peak current limit setting (1.65A) for all operating temperatures *</t>
  </si>
  <si>
    <t xml:space="preserve"> LM25180 PSR Flyback Converter Design Tool</t>
  </si>
  <si>
    <t xml:space="preserve">                          LM25180 PSR Flyback Converter Design Tool  </t>
  </si>
  <si>
    <r>
      <t>LM25180 Power Dissipation at Full Load, P</t>
    </r>
    <r>
      <rPr>
        <vertAlign val="subscript"/>
        <sz val="10"/>
        <rFont val="Arial"/>
        <family val="2"/>
      </rPr>
      <t>D</t>
    </r>
  </si>
  <si>
    <r>
      <t>LM25180 Junction Temperature at Full Load, T</t>
    </r>
    <r>
      <rPr>
        <vertAlign val="subscript"/>
        <sz val="10"/>
        <rFont val="Arial"/>
        <family val="2"/>
      </rPr>
      <t>J</t>
    </r>
  </si>
  <si>
    <t>IC, LM25180, PSR Flyback Converter, 4.5V–42V Input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</si>
</sst>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_(* #,##0.00_);_(* \(#,##0.00\);_(* &quot;-&quot;??_);_(@_)"/>
    <numFmt numFmtId="177" formatCode="0.00000"/>
    <numFmt numFmtId="178" formatCode="0.0000"/>
    <numFmt numFmtId="179" formatCode="0.000"/>
    <numFmt numFmtId="180" formatCode="0.0"/>
    <numFmt numFmtId="181" formatCode="0.000E+00"/>
    <numFmt numFmtId="182" formatCode="#0.0#"/>
    <numFmt numFmtId="183" formatCode="General&quot;k&quot;"/>
    <numFmt numFmtId="184" formatCode="General&quot;µF&quot;"/>
    <numFmt numFmtId="185" formatCode="General&quot;µH&quot;"/>
    <numFmt numFmtId="186" formatCode="&quot;Inductor, &quot;General&quot;-µH, 10%&quot;"/>
    <numFmt numFmtId="187" formatCode="&quot;Resistor, Chip, &quot;General&quot;-kΩ, 1/16W, 1%&quot;"/>
    <numFmt numFmtId="188" formatCode="0.E+00"/>
    <numFmt numFmtId="189" formatCode="0.0E+00"/>
    <numFmt numFmtId="190" formatCode="&quot;Capacitor, Ceramic, &quot;General&quot;-µF, 100V, X7R, 20%&quot;"/>
    <numFmt numFmtId="191" formatCode="0.000%"/>
    <numFmt numFmtId="192" formatCode="&quot;Capacitor, Ceramic, &quot;General&quot;-µF, 16V, X7R, 20%&quot;"/>
    <numFmt numFmtId="193" formatCode="&quot;Resistor, Chip, &quot;General&quot; kΩ, 1/16W, 1%&quot;"/>
    <numFmt numFmtId="194" formatCode="General&quot;M&quot;"/>
    <numFmt numFmtId="195" formatCode="&quot;Resistor, Chip, &quot;General&quot;kΩ, 1/16W, 1%&quot;"/>
    <numFmt numFmtId="196" formatCode="0E+00"/>
  </numFmts>
  <fonts count="83" x14ac:knownFonts="1">
    <font>
      <sz val="10"/>
      <name val="Arial"/>
    </font>
    <font>
      <sz val="11"/>
      <color theme="1"/>
      <name val="Arial"/>
      <family val="2"/>
    </font>
    <font>
      <sz val="11"/>
      <color theme="1"/>
      <name val="ＭＳ Ｐゴシック"/>
      <family val="2"/>
      <scheme val="minor"/>
    </font>
    <font>
      <sz val="10"/>
      <name val="Arial"/>
      <family val="2"/>
    </font>
    <font>
      <b/>
      <sz val="10"/>
      <name val="Arial"/>
      <family val="2"/>
    </font>
    <font>
      <b/>
      <sz val="22"/>
      <color indexed="44"/>
      <name val="Arial"/>
      <family val="2"/>
    </font>
    <font>
      <sz val="8"/>
      <name val="Arial"/>
      <family val="2"/>
    </font>
    <font>
      <b/>
      <i/>
      <sz val="10"/>
      <name val="Arial"/>
      <family val="2"/>
    </font>
    <font>
      <sz val="10"/>
      <name val="Arial"/>
      <family val="2"/>
    </font>
    <font>
      <vertAlign val="subscript"/>
      <sz val="10"/>
      <name val="Arial"/>
      <family val="2"/>
    </font>
    <font>
      <u/>
      <sz val="10"/>
      <color indexed="12"/>
      <name val="Arial"/>
      <family val="2"/>
    </font>
    <font>
      <b/>
      <sz val="16"/>
      <name val="Arial"/>
      <family val="2"/>
    </font>
    <font>
      <sz val="10"/>
      <color indexed="44"/>
      <name val="Arial"/>
      <family val="2"/>
    </font>
    <font>
      <b/>
      <sz val="28"/>
      <color indexed="44"/>
      <name val="Arial"/>
      <family val="2"/>
    </font>
    <font>
      <b/>
      <sz val="10"/>
      <color indexed="44"/>
      <name val="Arial"/>
      <family val="2"/>
    </font>
    <font>
      <sz val="10"/>
      <color indexed="8"/>
      <name val="Arial"/>
      <family val="2"/>
    </font>
    <font>
      <b/>
      <sz val="24"/>
      <color indexed="44"/>
      <name val="Arial"/>
      <family val="2"/>
    </font>
    <font>
      <sz val="10"/>
      <name val="Calibri"/>
      <family val="2"/>
    </font>
    <font>
      <b/>
      <sz val="10"/>
      <name val="Calibri"/>
      <family val="2"/>
    </font>
    <font>
      <sz val="10"/>
      <color indexed="55"/>
      <name val="Calibri"/>
      <family val="2"/>
    </font>
    <font>
      <b/>
      <sz val="10"/>
      <color indexed="9"/>
      <name val="Calibri"/>
      <family val="2"/>
    </font>
    <font>
      <b/>
      <sz val="12"/>
      <color indexed="48"/>
      <name val="Arial"/>
      <family val="2"/>
    </font>
    <font>
      <b/>
      <sz val="12"/>
      <color indexed="12"/>
      <name val="Arial"/>
      <family val="2"/>
    </font>
    <font>
      <b/>
      <sz val="12"/>
      <color indexed="9"/>
      <name val="Calibri"/>
      <family val="2"/>
    </font>
    <font>
      <b/>
      <sz val="22"/>
      <color indexed="9"/>
      <name val="Calibri"/>
      <family val="2"/>
    </font>
    <font>
      <b/>
      <sz val="10"/>
      <color indexed="13"/>
      <name val="Calibri"/>
      <family val="2"/>
    </font>
    <font>
      <sz val="10"/>
      <color indexed="56"/>
      <name val="Calibri"/>
      <family val="2"/>
    </font>
    <font>
      <sz val="10"/>
      <color indexed="8"/>
      <name val="Arial"/>
      <family val="2"/>
    </font>
    <font>
      <b/>
      <sz val="14"/>
      <color indexed="9"/>
      <name val="Calibri"/>
      <family val="2"/>
    </font>
    <font>
      <sz val="11"/>
      <color indexed="81"/>
      <name val="Tahoma"/>
      <family val="2"/>
    </font>
    <font>
      <b/>
      <i/>
      <sz val="14"/>
      <color indexed="12"/>
      <name val="Calibri"/>
      <family val="2"/>
    </font>
    <font>
      <b/>
      <sz val="9"/>
      <color indexed="81"/>
      <name val="Tahoma"/>
      <family val="2"/>
    </font>
    <font>
      <sz val="9"/>
      <color indexed="81"/>
      <name val="Tahoma"/>
      <family val="2"/>
    </font>
    <font>
      <b/>
      <u/>
      <sz val="9"/>
      <color indexed="81"/>
      <name val="Tahoma"/>
      <family val="2"/>
    </font>
    <font>
      <sz val="11"/>
      <color indexed="10"/>
      <name val="Tahoma"/>
      <family val="2"/>
    </font>
    <font>
      <b/>
      <sz val="11"/>
      <color indexed="10"/>
      <name val="Tahoma"/>
      <family val="2"/>
    </font>
    <font>
      <b/>
      <sz val="9"/>
      <color indexed="10"/>
      <name val="Tahoma"/>
      <family val="2"/>
    </font>
    <font>
      <sz val="9"/>
      <color indexed="39"/>
      <name val="Tahoma"/>
      <family val="2"/>
    </font>
    <font>
      <b/>
      <sz val="9"/>
      <color indexed="39"/>
      <name val="Tahoma"/>
      <family val="2"/>
    </font>
    <font>
      <b/>
      <vertAlign val="subscript"/>
      <sz val="9"/>
      <color indexed="81"/>
      <name val="Tahoma"/>
      <family val="2"/>
    </font>
    <font>
      <sz val="36"/>
      <color rgb="FFFF0000"/>
      <name val="Arial"/>
      <family val="2"/>
    </font>
    <font>
      <b/>
      <u/>
      <sz val="11"/>
      <color indexed="10"/>
      <name val="Tahoma"/>
      <family val="2"/>
    </font>
    <font>
      <sz val="16"/>
      <color theme="0"/>
      <name val="Arial"/>
      <family val="2"/>
    </font>
    <font>
      <b/>
      <vertAlign val="subscript"/>
      <sz val="10"/>
      <name val="Arial"/>
      <family val="2"/>
    </font>
    <font>
      <sz val="10"/>
      <color indexed="23"/>
      <name val="Arial"/>
      <family val="2"/>
    </font>
    <font>
      <sz val="10"/>
      <color indexed="55"/>
      <name val="Arial"/>
      <family val="2"/>
    </font>
    <font>
      <b/>
      <i/>
      <sz val="10"/>
      <color indexed="55"/>
      <name val="Arial"/>
      <family val="2"/>
    </font>
    <font>
      <b/>
      <i/>
      <sz val="14"/>
      <color indexed="12"/>
      <name val="Arial"/>
      <family val="2"/>
    </font>
    <font>
      <b/>
      <sz val="10"/>
      <color rgb="FFFF0000"/>
      <name val="Arial"/>
      <family val="2"/>
    </font>
    <font>
      <sz val="10"/>
      <color theme="1"/>
      <name val="Arial"/>
      <family val="2"/>
    </font>
    <font>
      <b/>
      <sz val="10"/>
      <color theme="1"/>
      <name val="Arial"/>
      <family val="2"/>
    </font>
    <font>
      <b/>
      <vertAlign val="subscript"/>
      <sz val="10"/>
      <color theme="1"/>
      <name val="Arial"/>
      <family val="2"/>
    </font>
    <font>
      <b/>
      <sz val="12"/>
      <color rgb="FF003366"/>
      <name val="Calibri"/>
      <family val="2"/>
    </font>
    <font>
      <sz val="10"/>
      <name val="Symbol"/>
      <family val="1"/>
      <charset val="2"/>
    </font>
    <font>
      <b/>
      <sz val="10"/>
      <color indexed="9"/>
      <name val="Arial"/>
      <family val="2"/>
    </font>
    <font>
      <b/>
      <sz val="12"/>
      <color rgb="FF0000FF"/>
      <name val="Arial"/>
      <family val="2"/>
    </font>
    <font>
      <b/>
      <u/>
      <sz val="10"/>
      <name val="Arial"/>
      <family val="2"/>
    </font>
    <font>
      <u/>
      <sz val="9"/>
      <color indexed="12"/>
      <name val="Tahoma"/>
      <family val="2"/>
    </font>
    <font>
      <sz val="10"/>
      <color rgb="FFFF0000"/>
      <name val="Arial"/>
      <family val="2"/>
    </font>
    <font>
      <sz val="10"/>
      <color theme="0"/>
      <name val="Arial"/>
      <family val="2"/>
    </font>
    <font>
      <sz val="30"/>
      <color theme="0"/>
      <name val="Arial"/>
      <family val="2"/>
    </font>
    <font>
      <sz val="10"/>
      <name val="ＭＳ Ｐゴシック"/>
      <family val="1"/>
      <scheme val="major"/>
    </font>
    <font>
      <b/>
      <sz val="10"/>
      <color indexed="8"/>
      <name val="Arial"/>
      <family val="2"/>
    </font>
    <font>
      <sz val="10"/>
      <name val="Times New Roman"/>
      <family val="1"/>
    </font>
    <font>
      <sz val="18"/>
      <name val="Arial"/>
      <family val="2"/>
    </font>
    <font>
      <b/>
      <sz val="11"/>
      <name val="Symbol"/>
      <family val="1"/>
      <charset val="2"/>
    </font>
    <font>
      <b/>
      <sz val="10"/>
      <color rgb="FF0000FF"/>
      <name val="Arial"/>
      <family val="2"/>
    </font>
    <font>
      <u/>
      <sz val="10"/>
      <color theme="0" tint="-0.499984740745262"/>
      <name val="Arial"/>
      <family val="2"/>
    </font>
    <font>
      <vertAlign val="subscript"/>
      <sz val="9"/>
      <color indexed="81"/>
      <name val="Tahoma"/>
      <family val="2"/>
    </font>
    <font>
      <b/>
      <vertAlign val="subscript"/>
      <sz val="16"/>
      <name val="Arial"/>
      <family val="2"/>
    </font>
    <font>
      <b/>
      <sz val="10"/>
      <color rgb="FF33CC33"/>
      <name val="Arial"/>
      <family val="2"/>
    </font>
    <font>
      <sz val="10"/>
      <name val="Arial"/>
      <family val="2"/>
    </font>
    <font>
      <sz val="9"/>
      <color indexed="8"/>
      <name val="Tahoma"/>
      <family val="2"/>
    </font>
    <font>
      <b/>
      <sz val="10"/>
      <color theme="0"/>
      <name val="Arial"/>
      <family val="2"/>
    </font>
    <font>
      <b/>
      <vertAlign val="superscript"/>
      <sz val="10"/>
      <color theme="0"/>
      <name val="Arial"/>
      <family val="2"/>
    </font>
    <font>
      <b/>
      <sz val="11"/>
      <color rgb="FFFF0000"/>
      <name val="Arial"/>
      <family val="2"/>
    </font>
    <font>
      <b/>
      <sz val="12"/>
      <color rgb="FFFF0000"/>
      <name val="Arial"/>
      <family val="2"/>
    </font>
    <font>
      <b/>
      <vertAlign val="superscript"/>
      <sz val="12"/>
      <color rgb="FFFF0000"/>
      <name val="Arial"/>
      <family val="2"/>
    </font>
    <font>
      <sz val="34"/>
      <color theme="0"/>
      <name val="Arial"/>
      <family val="2"/>
    </font>
    <font>
      <b/>
      <sz val="10"/>
      <color theme="6" tint="-0.249977111117893"/>
      <name val="Arial"/>
      <family val="2"/>
    </font>
    <font>
      <sz val="10"/>
      <color rgb="FF0000FF"/>
      <name val="Arial"/>
      <family val="2"/>
    </font>
    <font>
      <b/>
      <sz val="10"/>
      <color theme="9" tint="-0.249977111117893"/>
      <name val="Arial"/>
      <family val="2"/>
    </font>
    <font>
      <sz val="6"/>
      <name val="ＭＳ Ｐゴシック"/>
      <family val="3"/>
      <charset val="128"/>
    </font>
  </fonts>
  <fills count="29">
    <fill>
      <patternFill patternType="none"/>
    </fill>
    <fill>
      <patternFill patternType="gray125"/>
    </fill>
    <fill>
      <patternFill patternType="solid">
        <fgColor indexed="44"/>
        <bgColor indexed="64"/>
      </patternFill>
    </fill>
    <fill>
      <patternFill patternType="solid">
        <fgColor indexed="8"/>
        <bgColor indexed="64"/>
      </patternFill>
    </fill>
    <fill>
      <patternFill patternType="solid">
        <fgColor indexed="22"/>
        <bgColor indexed="64"/>
      </patternFill>
    </fill>
    <fill>
      <patternFill patternType="solid">
        <fgColor indexed="55"/>
        <bgColor indexed="64"/>
      </patternFill>
    </fill>
    <fill>
      <patternFill patternType="solid">
        <fgColor indexed="45"/>
        <bgColor indexed="64"/>
      </patternFill>
    </fill>
    <fill>
      <patternFill patternType="solid">
        <fgColor indexed="46"/>
        <bgColor indexed="64"/>
      </patternFill>
    </fill>
    <fill>
      <patternFill patternType="solid">
        <fgColor indexed="9"/>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theme="0"/>
        <bgColor indexed="64"/>
      </patternFill>
    </fill>
    <fill>
      <patternFill patternType="solid">
        <fgColor rgb="FFFF0000"/>
        <bgColor indexed="64"/>
      </patternFill>
    </fill>
    <fill>
      <patternFill patternType="solid">
        <fgColor theme="1"/>
        <bgColor indexed="64"/>
      </patternFill>
    </fill>
    <fill>
      <patternFill patternType="solid">
        <fgColor rgb="FFFFFF00"/>
        <bgColor indexed="64"/>
      </patternFill>
    </fill>
    <fill>
      <patternFill patternType="solid">
        <fgColor indexed="43"/>
        <bgColor indexed="64"/>
      </patternFill>
    </fill>
    <fill>
      <patternFill patternType="solid">
        <fgColor rgb="FFFFFF99"/>
        <bgColor indexed="64"/>
      </patternFill>
    </fill>
    <fill>
      <patternFill patternType="solid">
        <fgColor rgb="FFFF9900"/>
        <bgColor indexed="64"/>
      </patternFill>
    </fill>
    <fill>
      <patternFill patternType="solid">
        <fgColor rgb="FF99CC00"/>
        <bgColor indexed="64"/>
      </patternFill>
    </fill>
    <fill>
      <patternFill patternType="solid">
        <fgColor rgb="FFC0C0C0"/>
        <bgColor indexed="64"/>
      </patternFill>
    </fill>
    <fill>
      <patternFill patternType="solid">
        <fgColor rgb="FFFFC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33CC33"/>
        <bgColor indexed="64"/>
      </patternFill>
    </fill>
    <fill>
      <patternFill patternType="solid">
        <fgColor rgb="FF00B0F0"/>
        <bgColor indexed="64"/>
      </patternFill>
    </fill>
    <fill>
      <patternFill patternType="solid">
        <fgColor theme="3" tint="0.79998168889431442"/>
        <bgColor indexed="64"/>
      </patternFill>
    </fill>
    <fill>
      <patternFill patternType="solid">
        <fgColor rgb="FFFF00FF"/>
        <bgColor indexed="64"/>
      </patternFill>
    </fill>
  </fills>
  <borders count="7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55"/>
      </top>
      <bottom/>
      <diagonal/>
    </border>
    <border>
      <left/>
      <right/>
      <top/>
      <bottom style="medium">
        <color indexed="55"/>
      </bottom>
      <diagonal/>
    </border>
    <border>
      <left/>
      <right style="medium">
        <color indexed="55"/>
      </right>
      <top style="medium">
        <color indexed="55"/>
      </top>
      <bottom/>
      <diagonal/>
    </border>
    <border>
      <left/>
      <right style="medium">
        <color indexed="55"/>
      </right>
      <top/>
      <bottom/>
      <diagonal/>
    </border>
    <border>
      <left/>
      <right style="medium">
        <color indexed="55"/>
      </right>
      <top/>
      <bottom style="medium">
        <color indexed="55"/>
      </bottom>
      <diagonal/>
    </border>
    <border>
      <left style="medium">
        <color indexed="55"/>
      </left>
      <right/>
      <top style="medium">
        <color indexed="55"/>
      </top>
      <bottom/>
      <diagonal/>
    </border>
    <border>
      <left style="medium">
        <color indexed="55"/>
      </left>
      <right/>
      <top/>
      <bottom/>
      <diagonal/>
    </border>
    <border>
      <left style="medium">
        <color indexed="55"/>
      </left>
      <right/>
      <top/>
      <bottom style="medium">
        <color indexed="55"/>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indexed="64"/>
      </top>
      <bottom style="medium">
        <color indexed="64"/>
      </bottom>
      <diagonal/>
    </border>
    <border>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55"/>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s>
  <cellStyleXfs count="8">
    <xf numFmtId="0" fontId="0" fillId="0" borderId="0"/>
    <xf numFmtId="0" fontId="4" fillId="0" borderId="0" applyNumberFormat="0" applyFill="0" applyBorder="0" applyAlignment="0" applyProtection="0"/>
    <xf numFmtId="176" fontId="3" fillId="0" borderId="0" applyFont="0" applyFill="0" applyBorder="0" applyAlignment="0" applyProtection="0"/>
    <xf numFmtId="0" fontId="10" fillId="0" borderId="0" applyNumberFormat="0" applyFill="0" applyBorder="0" applyAlignment="0" applyProtection="0">
      <alignment vertical="top"/>
      <protection locked="0"/>
    </xf>
    <xf numFmtId="0" fontId="3" fillId="0" borderId="0"/>
    <xf numFmtId="0" fontId="2" fillId="0" borderId="0"/>
    <xf numFmtId="176" fontId="2" fillId="0" borderId="0" applyFont="0" applyFill="0" applyBorder="0" applyAlignment="0" applyProtection="0"/>
    <xf numFmtId="9" fontId="71" fillId="0" borderId="0" applyFont="0" applyFill="0" applyBorder="0" applyAlignment="0" applyProtection="0"/>
  </cellStyleXfs>
  <cellXfs count="697">
    <xf numFmtId="0" fontId="0" fillId="0" borderId="0" xfId="0"/>
    <xf numFmtId="0" fontId="23" fillId="24" borderId="0" xfId="0" applyFont="1" applyFill="1" applyBorder="1" applyAlignment="1" applyProtection="1">
      <alignment horizontal="center" vertical="center"/>
    </xf>
    <xf numFmtId="0" fontId="7" fillId="0" borderId="0" xfId="0" applyFont="1"/>
    <xf numFmtId="0" fontId="4" fillId="0" borderId="0" xfId="0" applyFont="1"/>
    <xf numFmtId="0" fontId="8" fillId="0" borderId="0" xfId="0" applyFont="1"/>
    <xf numFmtId="2" fontId="0" fillId="0" borderId="0" xfId="0" applyNumberFormat="1"/>
    <xf numFmtId="0" fontId="4" fillId="2" borderId="0" xfId="0" applyFont="1" applyFill="1"/>
    <xf numFmtId="0" fontId="0" fillId="0" borderId="0" xfId="0" applyBorder="1"/>
    <xf numFmtId="2" fontId="0" fillId="0" borderId="0" xfId="0" applyNumberFormat="1" applyBorder="1"/>
    <xf numFmtId="0" fontId="0" fillId="4" borderId="2" xfId="0" applyFill="1" applyBorder="1"/>
    <xf numFmtId="0" fontId="0" fillId="4" borderId="0" xfId="0" applyFill="1" applyBorder="1"/>
    <xf numFmtId="0" fontId="0" fillId="0" borderId="0" xfId="0" applyFill="1"/>
    <xf numFmtId="0" fontId="0" fillId="0" borderId="0" xfId="0" applyFill="1" applyBorder="1"/>
    <xf numFmtId="0" fontId="15" fillId="0" borderId="0" xfId="0" applyFont="1" applyFill="1" applyBorder="1"/>
    <xf numFmtId="0" fontId="4" fillId="0" borderId="0" xfId="0" applyFont="1" applyFill="1" applyBorder="1"/>
    <xf numFmtId="0" fontId="0" fillId="9" borderId="0" xfId="0" applyFill="1"/>
    <xf numFmtId="0" fontId="0" fillId="0" borderId="0" xfId="0" applyAlignment="1">
      <alignment horizontal="right"/>
    </xf>
    <xf numFmtId="0" fontId="17" fillId="0" borderId="0" xfId="0" applyFont="1"/>
    <xf numFmtId="11" fontId="7" fillId="0" borderId="0" xfId="0" applyNumberFormat="1" applyFont="1"/>
    <xf numFmtId="0" fontId="4" fillId="0" borderId="0" xfId="0" applyFont="1" applyFill="1" applyAlignment="1">
      <alignment horizontal="center"/>
    </xf>
    <xf numFmtId="0" fontId="4" fillId="4" borderId="0" xfId="0" applyFont="1" applyFill="1" applyAlignment="1">
      <alignment horizontal="center"/>
    </xf>
    <xf numFmtId="0" fontId="4" fillId="10" borderId="0" xfId="0" applyFont="1" applyFill="1" applyAlignment="1">
      <alignment horizontal="center"/>
    </xf>
    <xf numFmtId="0" fontId="4" fillId="11" borderId="0" xfId="0" applyFont="1" applyFill="1" applyAlignment="1">
      <alignment horizontal="center"/>
    </xf>
    <xf numFmtId="182" fontId="17" fillId="3" borderId="0" xfId="0" applyNumberFormat="1" applyFont="1" applyFill="1" applyBorder="1" applyAlignment="1" applyProtection="1">
      <alignment horizontal="center"/>
    </xf>
    <xf numFmtId="0" fontId="0" fillId="0" borderId="22" xfId="0" applyBorder="1"/>
    <xf numFmtId="0" fontId="0" fillId="0" borderId="23" xfId="0" applyBorder="1"/>
    <xf numFmtId="0" fontId="8" fillId="0" borderId="22" xfId="0" applyFont="1" applyBorder="1"/>
    <xf numFmtId="0" fontId="0" fillId="11" borderId="0" xfId="0" applyFill="1" applyBorder="1"/>
    <xf numFmtId="0" fontId="0" fillId="0" borderId="24" xfId="0" applyBorder="1"/>
    <xf numFmtId="0" fontId="0" fillId="0" borderId="25" xfId="0" applyBorder="1"/>
    <xf numFmtId="0" fontId="0" fillId="0" borderId="26" xfId="0" applyBorder="1"/>
    <xf numFmtId="0" fontId="0" fillId="0" borderId="2" xfId="0" applyBorder="1"/>
    <xf numFmtId="0" fontId="0" fillId="0" borderId="3" xfId="0" applyBorder="1"/>
    <xf numFmtId="0" fontId="7" fillId="0" borderId="22" xfId="0" applyFont="1" applyBorder="1"/>
    <xf numFmtId="0" fontId="4" fillId="0" borderId="22" xfId="0" applyFont="1" applyBorder="1"/>
    <xf numFmtId="11" fontId="0" fillId="11" borderId="0" xfId="0" applyNumberFormat="1" applyFill="1" applyBorder="1"/>
    <xf numFmtId="0" fontId="0" fillId="10" borderId="0" xfId="0" applyFill="1" applyBorder="1"/>
    <xf numFmtId="0" fontId="0" fillId="0" borderId="0" xfId="0" applyBorder="1" applyAlignment="1">
      <alignment horizontal="right"/>
    </xf>
    <xf numFmtId="0" fontId="0" fillId="0" borderId="25" xfId="0" applyBorder="1" applyAlignment="1">
      <alignment horizontal="right"/>
    </xf>
    <xf numFmtId="0" fontId="7" fillId="0" borderId="0" xfId="0" applyFont="1" applyBorder="1"/>
    <xf numFmtId="0" fontId="4" fillId="0" borderId="0" xfId="0" applyFont="1" applyBorder="1"/>
    <xf numFmtId="11" fontId="7" fillId="0" borderId="25" xfId="0" applyNumberFormat="1" applyFont="1" applyBorder="1"/>
    <xf numFmtId="11" fontId="0" fillId="4" borderId="0" xfId="0" applyNumberFormat="1" applyFill="1" applyBorder="1"/>
    <xf numFmtId="0" fontId="4" fillId="0" borderId="0" xfId="0" applyFont="1" applyFill="1" applyBorder="1" applyAlignment="1"/>
    <xf numFmtId="0" fontId="8" fillId="0" borderId="0" xfId="0" applyFont="1" applyFill="1" applyBorder="1" applyAlignment="1"/>
    <xf numFmtId="0" fontId="8" fillId="0" borderId="0" xfId="0" applyFont="1" applyFill="1" applyBorder="1"/>
    <xf numFmtId="0" fontId="17" fillId="3" borderId="0" xfId="0" applyFont="1" applyFill="1" applyBorder="1" applyProtection="1"/>
    <xf numFmtId="0" fontId="17" fillId="3" borderId="0" xfId="0" applyFont="1" applyFill="1" applyProtection="1"/>
    <xf numFmtId="0" fontId="18" fillId="8" borderId="0" xfId="0" applyFont="1" applyFill="1" applyBorder="1" applyAlignment="1" applyProtection="1"/>
    <xf numFmtId="0" fontId="18" fillId="8" borderId="0" xfId="0" applyFont="1" applyFill="1" applyBorder="1" applyAlignment="1" applyProtection="1">
      <alignment horizontal="right"/>
    </xf>
    <xf numFmtId="0" fontId="17" fillId="8" borderId="0" xfId="0" applyFont="1" applyFill="1" applyBorder="1" applyProtection="1"/>
    <xf numFmtId="0" fontId="21" fillId="0" borderId="0" xfId="0" applyFont="1" applyBorder="1"/>
    <xf numFmtId="0" fontId="4" fillId="0" borderId="0" xfId="0" applyFont="1" applyBorder="1" applyAlignment="1">
      <alignment horizontal="center"/>
    </xf>
    <xf numFmtId="0" fontId="0" fillId="0" borderId="1" xfId="0" applyBorder="1"/>
    <xf numFmtId="0" fontId="0" fillId="0" borderId="2" xfId="0" applyBorder="1" applyAlignment="1">
      <alignment horizontal="right"/>
    </xf>
    <xf numFmtId="0" fontId="22" fillId="0" borderId="0" xfId="0" applyFont="1" applyBorder="1"/>
    <xf numFmtId="0" fontId="4" fillId="0" borderId="22" xfId="0" applyFont="1" applyFill="1" applyBorder="1"/>
    <xf numFmtId="0" fontId="8" fillId="0" borderId="22" xfId="0" applyFont="1" applyFill="1" applyBorder="1"/>
    <xf numFmtId="0" fontId="0" fillId="0" borderId="2" xfId="0" applyBorder="1" applyAlignment="1"/>
    <xf numFmtId="0" fontId="27" fillId="0" borderId="0" xfId="0" applyFont="1" applyBorder="1"/>
    <xf numFmtId="0" fontId="27" fillId="4" borderId="0" xfId="0" applyFont="1" applyFill="1" applyBorder="1"/>
    <xf numFmtId="0" fontId="0" fillId="0" borderId="0" xfId="0" applyFont="1" applyFill="1" applyBorder="1"/>
    <xf numFmtId="0" fontId="21" fillId="0" borderId="32" xfId="0" applyFont="1" applyBorder="1"/>
    <xf numFmtId="0" fontId="0" fillId="0" borderId="27" xfId="0" applyBorder="1"/>
    <xf numFmtId="0" fontId="0" fillId="0" borderId="29" xfId="0" applyBorder="1"/>
    <xf numFmtId="0" fontId="8" fillId="0" borderId="33" xfId="0" applyFont="1" applyBorder="1"/>
    <xf numFmtId="0" fontId="0" fillId="0" borderId="30" xfId="0" applyBorder="1"/>
    <xf numFmtId="0" fontId="27" fillId="0" borderId="33" xfId="0" applyFont="1" applyBorder="1"/>
    <xf numFmtId="0" fontId="27" fillId="0" borderId="33" xfId="0" applyFont="1" applyFill="1" applyBorder="1"/>
    <xf numFmtId="0" fontId="27" fillId="0" borderId="34" xfId="0" applyFont="1" applyBorder="1"/>
    <xf numFmtId="0" fontId="27" fillId="0" borderId="28" xfId="0" applyFont="1" applyBorder="1"/>
    <xf numFmtId="0" fontId="0" fillId="0" borderId="28" xfId="0" applyBorder="1"/>
    <xf numFmtId="0" fontId="0" fillId="0" borderId="31" xfId="0" applyBorder="1"/>
    <xf numFmtId="0" fontId="19" fillId="8" borderId="0" xfId="0" applyFont="1" applyFill="1" applyBorder="1" applyProtection="1"/>
    <xf numFmtId="2" fontId="17" fillId="8" borderId="0" xfId="0" applyNumberFormat="1" applyFont="1" applyFill="1" applyBorder="1" applyProtection="1"/>
    <xf numFmtId="178" fontId="17" fillId="8" borderId="0" xfId="0" applyNumberFormat="1" applyFont="1" applyFill="1" applyBorder="1" applyProtection="1"/>
    <xf numFmtId="0" fontId="17" fillId="12" borderId="0" xfId="0" applyFont="1" applyFill="1" applyProtection="1"/>
    <xf numFmtId="0" fontId="3" fillId="0" borderId="0" xfId="0" applyFont="1"/>
    <xf numFmtId="0" fontId="3" fillId="0" borderId="0" xfId="0" applyFont="1" applyBorder="1"/>
    <xf numFmtId="0" fontId="0" fillId="0" borderId="0" xfId="0" applyBorder="1" applyAlignment="1">
      <alignment horizontal="left"/>
    </xf>
    <xf numFmtId="0" fontId="3" fillId="0" borderId="2" xfId="0" applyFont="1" applyBorder="1"/>
    <xf numFmtId="0" fontId="3" fillId="0" borderId="25" xfId="0" applyFont="1" applyBorder="1"/>
    <xf numFmtId="0" fontId="30" fillId="8" borderId="0" xfId="0" applyFont="1" applyFill="1" applyBorder="1" applyAlignment="1" applyProtection="1"/>
    <xf numFmtId="0" fontId="17" fillId="12" borderId="0" xfId="0" applyFont="1" applyFill="1" applyBorder="1" applyProtection="1"/>
    <xf numFmtId="0" fontId="20" fillId="15" borderId="0" xfId="0" applyFont="1" applyFill="1" applyBorder="1" applyAlignment="1" applyProtection="1">
      <alignment vertical="center"/>
    </xf>
    <xf numFmtId="0" fontId="0" fillId="14" borderId="0" xfId="0" applyFill="1"/>
    <xf numFmtId="0" fontId="42" fillId="14" borderId="0" xfId="0" applyFont="1" applyFill="1"/>
    <xf numFmtId="0" fontId="4" fillId="8" borderId="0" xfId="0" applyFont="1" applyFill="1" applyBorder="1" applyAlignment="1" applyProtection="1">
      <alignment horizontal="right"/>
    </xf>
    <xf numFmtId="0" fontId="3" fillId="8" borderId="0" xfId="0" applyFont="1" applyFill="1" applyBorder="1" applyAlignment="1" applyProtection="1">
      <alignment horizontal="right"/>
    </xf>
    <xf numFmtId="0" fontId="3" fillId="8" borderId="22" xfId="0" applyFont="1" applyFill="1" applyBorder="1" applyProtection="1"/>
    <xf numFmtId="0" fontId="3" fillId="8" borderId="0" xfId="0" applyFont="1" applyFill="1" applyBorder="1" applyProtection="1"/>
    <xf numFmtId="0" fontId="45" fillId="8" borderId="0" xfId="0" applyFont="1" applyFill="1" applyBorder="1" applyProtection="1"/>
    <xf numFmtId="0" fontId="46" fillId="8" borderId="0" xfId="0" applyFont="1" applyFill="1" applyBorder="1" applyProtection="1"/>
    <xf numFmtId="0" fontId="47" fillId="8" borderId="0" xfId="0" applyFont="1" applyFill="1" applyBorder="1" applyAlignment="1" applyProtection="1"/>
    <xf numFmtId="0" fontId="4" fillId="8" borderId="0" xfId="0" applyFont="1" applyFill="1" applyBorder="1" applyAlignment="1" applyProtection="1"/>
    <xf numFmtId="180" fontId="4" fillId="8" borderId="0" xfId="0" applyNumberFormat="1" applyFont="1" applyFill="1" applyBorder="1" applyAlignment="1" applyProtection="1"/>
    <xf numFmtId="0" fontId="47" fillId="8" borderId="0" xfId="0" applyFont="1" applyFill="1" applyBorder="1" applyProtection="1"/>
    <xf numFmtId="0" fontId="4" fillId="8" borderId="0" xfId="0" applyFont="1" applyFill="1" applyBorder="1" applyProtection="1"/>
    <xf numFmtId="0" fontId="4" fillId="8" borderId="22" xfId="0" applyFont="1" applyFill="1" applyBorder="1" applyProtection="1"/>
    <xf numFmtId="0" fontId="4" fillId="15" borderId="0" xfId="0" applyFont="1" applyFill="1" applyBorder="1" applyProtection="1">
      <protection locked="0"/>
    </xf>
    <xf numFmtId="1" fontId="44" fillId="8" borderId="0" xfId="0" applyNumberFormat="1" applyFont="1" applyFill="1" applyBorder="1" applyAlignment="1" applyProtection="1">
      <alignment horizontal="right"/>
    </xf>
    <xf numFmtId="0" fontId="50" fillId="8" borderId="0" xfId="0" applyFont="1" applyFill="1" applyBorder="1" applyAlignment="1" applyProtection="1">
      <alignment horizontal="right"/>
    </xf>
    <xf numFmtId="0" fontId="3" fillId="8" borderId="24" xfId="0" applyFont="1" applyFill="1" applyBorder="1" applyProtection="1"/>
    <xf numFmtId="0" fontId="3" fillId="8" borderId="25" xfId="0" applyFont="1" applyFill="1" applyBorder="1" applyProtection="1"/>
    <xf numFmtId="0" fontId="3" fillId="8" borderId="23" xfId="0" applyFont="1" applyFill="1" applyBorder="1" applyProtection="1"/>
    <xf numFmtId="0" fontId="3" fillId="8" borderId="39" xfId="0" applyFont="1" applyFill="1" applyBorder="1" applyProtection="1"/>
    <xf numFmtId="0" fontId="3" fillId="8" borderId="40" xfId="0" applyFont="1" applyFill="1" applyBorder="1" applyProtection="1"/>
    <xf numFmtId="0" fontId="22" fillId="8" borderId="22" xfId="0" applyFont="1" applyFill="1" applyBorder="1" applyAlignment="1" applyProtection="1">
      <alignment vertical="center"/>
    </xf>
    <xf numFmtId="0" fontId="17" fillId="3" borderId="22" xfId="0" applyFont="1" applyFill="1" applyBorder="1" applyProtection="1"/>
    <xf numFmtId="0" fontId="4" fillId="8" borderId="39" xfId="0" applyFont="1" applyFill="1" applyBorder="1" applyProtection="1"/>
    <xf numFmtId="0" fontId="3" fillId="0" borderId="1" xfId="0" applyFont="1" applyBorder="1"/>
    <xf numFmtId="0" fontId="3" fillId="0" borderId="22" xfId="0" applyFont="1" applyBorder="1"/>
    <xf numFmtId="0" fontId="3" fillId="0" borderId="0" xfId="0" applyFont="1" applyFill="1" applyBorder="1"/>
    <xf numFmtId="2" fontId="0" fillId="0" borderId="0" xfId="0" applyNumberFormat="1" applyBorder="1" applyAlignment="1">
      <alignment horizontal="right"/>
    </xf>
    <xf numFmtId="0" fontId="53" fillId="0" borderId="0" xfId="0" applyFont="1" applyBorder="1"/>
    <xf numFmtId="0" fontId="3" fillId="8" borderId="0" xfId="4" applyFill="1"/>
    <xf numFmtId="0" fontId="11" fillId="8" borderId="0" xfId="4" applyFont="1" applyFill="1" applyAlignment="1">
      <alignment vertical="center"/>
    </xf>
    <xf numFmtId="0" fontId="3" fillId="16" borderId="17" xfId="4" applyFill="1" applyBorder="1" applyAlignment="1">
      <alignment horizontal="center" vertical="center"/>
    </xf>
    <xf numFmtId="0" fontId="3" fillId="8" borderId="0" xfId="4" applyFill="1" applyAlignment="1">
      <alignment vertical="center"/>
    </xf>
    <xf numFmtId="0" fontId="3" fillId="17" borderId="17" xfId="4" applyFill="1" applyBorder="1" applyAlignment="1">
      <alignment horizontal="center" vertical="center"/>
    </xf>
    <xf numFmtId="0" fontId="3" fillId="17" borderId="11" xfId="4" applyFill="1" applyBorder="1" applyAlignment="1">
      <alignment vertical="center" wrapText="1"/>
    </xf>
    <xf numFmtId="183" fontId="3" fillId="17" borderId="11" xfId="4" applyNumberFormat="1" applyFill="1" applyBorder="1" applyAlignment="1">
      <alignment horizontal="center" vertical="center"/>
    </xf>
    <xf numFmtId="0" fontId="3" fillId="17" borderId="11" xfId="4" quotePrefix="1" applyFill="1" applyBorder="1" applyAlignment="1">
      <alignment horizontal="left" vertical="center"/>
    </xf>
    <xf numFmtId="0" fontId="3" fillId="17" borderId="11" xfId="4" applyFill="1" applyBorder="1" applyAlignment="1">
      <alignment horizontal="left" vertical="center"/>
    </xf>
    <xf numFmtId="0" fontId="3" fillId="12" borderId="17" xfId="4" applyFill="1" applyBorder="1" applyAlignment="1">
      <alignment horizontal="center" vertical="center"/>
    </xf>
    <xf numFmtId="0" fontId="3" fillId="12" borderId="11" xfId="4" applyFill="1" applyBorder="1" applyAlignment="1">
      <alignment vertical="center" wrapText="1"/>
    </xf>
    <xf numFmtId="183" fontId="3" fillId="12" borderId="11" xfId="4" applyNumberFormat="1" applyFill="1" applyBorder="1" applyAlignment="1">
      <alignment horizontal="center" vertical="center"/>
    </xf>
    <xf numFmtId="0" fontId="3" fillId="12" borderId="11" xfId="4" quotePrefix="1" applyFill="1" applyBorder="1" applyAlignment="1">
      <alignment horizontal="left" vertical="center"/>
    </xf>
    <xf numFmtId="0" fontId="3" fillId="12" borderId="11" xfId="4" applyFill="1" applyBorder="1" applyAlignment="1">
      <alignment horizontal="left" vertical="center"/>
    </xf>
    <xf numFmtId="0" fontId="3" fillId="16" borderId="11" xfId="4" applyFill="1" applyBorder="1" applyAlignment="1">
      <alignment vertical="center" wrapText="1"/>
    </xf>
    <xf numFmtId="0" fontId="3" fillId="16" borderId="11" xfId="4" quotePrefix="1" applyFill="1" applyBorder="1" applyAlignment="1">
      <alignment horizontal="left" vertical="center"/>
    </xf>
    <xf numFmtId="0" fontId="3" fillId="16" borderId="11" xfId="4" applyFill="1" applyBorder="1" applyAlignment="1">
      <alignment horizontal="left" vertical="center"/>
    </xf>
    <xf numFmtId="184" fontId="3" fillId="16" borderId="11" xfId="4" applyNumberFormat="1" applyFill="1" applyBorder="1" applyAlignment="1">
      <alignment horizontal="center" vertical="center"/>
    </xf>
    <xf numFmtId="0" fontId="3" fillId="12" borderId="0" xfId="4" applyFill="1"/>
    <xf numFmtId="1" fontId="0" fillId="4" borderId="0" xfId="0" applyNumberFormat="1" applyFill="1" applyBorder="1"/>
    <xf numFmtId="0" fontId="3" fillId="8" borderId="0" xfId="0" applyFont="1" applyFill="1" applyBorder="1" applyAlignment="1" applyProtection="1">
      <alignment vertical="center"/>
    </xf>
    <xf numFmtId="0" fontId="3" fillId="8" borderId="22" xfId="0" applyFont="1" applyFill="1" applyBorder="1" applyAlignment="1" applyProtection="1">
      <alignment vertical="center"/>
    </xf>
    <xf numFmtId="0" fontId="3" fillId="8" borderId="0" xfId="0" applyFont="1" applyFill="1" applyBorder="1" applyAlignment="1" applyProtection="1">
      <alignment horizontal="right" vertical="center"/>
    </xf>
    <xf numFmtId="0" fontId="3" fillId="8" borderId="23" xfId="0" applyFont="1" applyFill="1" applyBorder="1" applyAlignment="1" applyProtection="1">
      <alignment vertical="center"/>
    </xf>
    <xf numFmtId="0" fontId="3" fillId="8" borderId="24" xfId="0" applyFont="1" applyFill="1" applyBorder="1" applyAlignment="1" applyProtection="1">
      <alignment vertical="center"/>
    </xf>
    <xf numFmtId="0" fontId="3" fillId="8" borderId="25" xfId="0" applyFont="1" applyFill="1" applyBorder="1" applyAlignment="1" applyProtection="1">
      <alignment vertical="center"/>
    </xf>
    <xf numFmtId="0" fontId="3" fillId="8" borderId="26" xfId="0" applyFont="1" applyFill="1" applyBorder="1" applyAlignment="1" applyProtection="1">
      <alignment vertical="center"/>
    </xf>
    <xf numFmtId="0" fontId="3" fillId="8" borderId="37" xfId="0" applyFont="1" applyFill="1" applyBorder="1" applyAlignment="1" applyProtection="1">
      <alignment vertical="center"/>
    </xf>
    <xf numFmtId="0" fontId="3" fillId="8" borderId="2" xfId="0" applyFont="1" applyFill="1" applyBorder="1" applyAlignment="1" applyProtection="1">
      <alignment vertical="center"/>
    </xf>
    <xf numFmtId="0" fontId="3" fillId="8" borderId="2" xfId="0" applyFont="1" applyFill="1" applyBorder="1" applyAlignment="1" applyProtection="1">
      <alignment horizontal="right" vertical="center"/>
    </xf>
    <xf numFmtId="0" fontId="50" fillId="8" borderId="2" xfId="0" applyFont="1" applyFill="1" applyBorder="1" applyAlignment="1" applyProtection="1">
      <alignment horizontal="right" vertical="center"/>
    </xf>
    <xf numFmtId="0" fontId="4" fillId="15" borderId="2" xfId="0" applyNumberFormat="1" applyFont="1" applyFill="1" applyBorder="1" applyAlignment="1" applyProtection="1">
      <alignment vertical="center"/>
      <protection locked="0"/>
    </xf>
    <xf numFmtId="0" fontId="50" fillId="8" borderId="0" xfId="0" applyFont="1" applyFill="1" applyBorder="1" applyAlignment="1" applyProtection="1">
      <alignment horizontal="right" vertical="center"/>
    </xf>
    <xf numFmtId="0" fontId="4" fillId="15" borderId="0" xfId="0" applyNumberFormat="1" applyFont="1" applyFill="1" applyBorder="1" applyAlignment="1" applyProtection="1">
      <alignment vertical="center"/>
      <protection locked="0"/>
    </xf>
    <xf numFmtId="0" fontId="4" fillId="8" borderId="23" xfId="0" applyFont="1" applyFill="1" applyBorder="1" applyAlignment="1" applyProtection="1">
      <alignment vertical="center"/>
    </xf>
    <xf numFmtId="1" fontId="3" fillId="8" borderId="0" xfId="0" applyNumberFormat="1" applyFont="1" applyFill="1" applyBorder="1" applyAlignment="1" applyProtection="1">
      <alignment horizontal="right" vertical="center"/>
    </xf>
    <xf numFmtId="0" fontId="50" fillId="12" borderId="0" xfId="0" applyFont="1" applyFill="1" applyBorder="1" applyAlignment="1" applyProtection="1">
      <alignment horizontal="right" vertical="center"/>
    </xf>
    <xf numFmtId="0" fontId="4" fillId="15" borderId="0" xfId="0" applyFont="1" applyFill="1" applyBorder="1" applyAlignment="1" applyProtection="1">
      <alignment vertical="center"/>
      <protection locked="0"/>
    </xf>
    <xf numFmtId="0" fontId="4" fillId="8" borderId="0" xfId="0" applyFont="1" applyFill="1" applyBorder="1" applyAlignment="1" applyProtection="1">
      <alignment vertical="center"/>
    </xf>
    <xf numFmtId="0" fontId="4" fillId="8" borderId="0" xfId="0" applyFont="1" applyFill="1" applyBorder="1" applyAlignment="1" applyProtection="1">
      <alignment horizontal="right" vertical="center"/>
    </xf>
    <xf numFmtId="0" fontId="4" fillId="15" borderId="0" xfId="0" applyNumberFormat="1" applyFont="1" applyFill="1" applyBorder="1" applyAlignment="1" applyProtection="1">
      <alignment horizontal="right" vertical="center"/>
      <protection locked="0"/>
    </xf>
    <xf numFmtId="0" fontId="3" fillId="8" borderId="39" xfId="0" applyFont="1" applyFill="1" applyBorder="1" applyAlignment="1" applyProtection="1">
      <alignment vertical="center"/>
    </xf>
    <xf numFmtId="0" fontId="0" fillId="0" borderId="35" xfId="0" applyBorder="1"/>
    <xf numFmtId="0" fontId="0" fillId="18" borderId="0" xfId="0" applyFill="1" applyBorder="1"/>
    <xf numFmtId="0" fontId="3" fillId="0" borderId="0" xfId="0" applyFont="1" applyBorder="1" applyAlignment="1">
      <alignment horizontal="right"/>
    </xf>
    <xf numFmtId="0" fontId="4" fillId="0" borderId="35" xfId="0" applyFont="1" applyBorder="1" applyAlignment="1">
      <alignment horizontal="right"/>
    </xf>
    <xf numFmtId="0" fontId="4" fillId="0" borderId="25" xfId="0" applyFont="1" applyBorder="1" applyAlignment="1">
      <alignment horizontal="right"/>
    </xf>
    <xf numFmtId="0" fontId="4" fillId="0" borderId="0" xfId="0" applyFont="1" applyAlignment="1">
      <alignment horizontal="right"/>
    </xf>
    <xf numFmtId="0" fontId="4" fillId="0" borderId="35" xfId="0" applyFont="1" applyBorder="1"/>
    <xf numFmtId="0" fontId="4" fillId="0" borderId="25" xfId="0" applyFont="1" applyBorder="1"/>
    <xf numFmtId="0" fontId="4" fillId="0" borderId="0" xfId="0" applyFont="1" applyBorder="1" applyAlignment="1">
      <alignment horizontal="left"/>
    </xf>
    <xf numFmtId="179" fontId="7" fillId="10" borderId="0" xfId="0" applyNumberFormat="1" applyFont="1" applyFill="1" applyBorder="1"/>
    <xf numFmtId="2" fontId="0" fillId="18" borderId="0" xfId="0" applyNumberFormat="1" applyFill="1" applyBorder="1"/>
    <xf numFmtId="1" fontId="0" fillId="10" borderId="0" xfId="0" applyNumberFormat="1" applyFill="1" applyBorder="1"/>
    <xf numFmtId="0" fontId="3" fillId="0" borderId="35" xfId="0" applyFont="1" applyFill="1" applyBorder="1"/>
    <xf numFmtId="0" fontId="3" fillId="0" borderId="24" xfId="0" applyFont="1" applyBorder="1"/>
    <xf numFmtId="0" fontId="7" fillId="0" borderId="25" xfId="0" applyFont="1" applyFill="1" applyBorder="1"/>
    <xf numFmtId="180" fontId="0" fillId="0" borderId="0" xfId="0" applyNumberFormat="1" applyFill="1" applyBorder="1"/>
    <xf numFmtId="0" fontId="4" fillId="0" borderId="45" xfId="0" applyFont="1" applyFill="1" applyBorder="1"/>
    <xf numFmtId="0" fontId="0" fillId="20" borderId="0" xfId="0" applyFill="1" applyBorder="1"/>
    <xf numFmtId="0" fontId="3" fillId="0" borderId="0" xfId="4"/>
    <xf numFmtId="0" fontId="3" fillId="0" borderId="11" xfId="4" applyBorder="1"/>
    <xf numFmtId="2" fontId="3" fillId="0" borderId="0" xfId="4" applyNumberFormat="1"/>
    <xf numFmtId="179" fontId="0" fillId="0" borderId="0" xfId="0" applyNumberFormat="1"/>
    <xf numFmtId="1" fontId="7" fillId="10" borderId="0" xfId="0" applyNumberFormat="1" applyFont="1" applyFill="1" applyBorder="1"/>
    <xf numFmtId="0" fontId="3" fillId="0" borderId="49" xfId="0" applyFont="1" applyBorder="1"/>
    <xf numFmtId="179" fontId="3" fillId="0" borderId="50" xfId="0" applyNumberFormat="1" applyFont="1" applyFill="1" applyBorder="1"/>
    <xf numFmtId="11" fontId="7" fillId="0" borderId="50" xfId="0" applyNumberFormat="1" applyFont="1" applyBorder="1"/>
    <xf numFmtId="0" fontId="53" fillId="0" borderId="50" xfId="0" applyFont="1" applyBorder="1"/>
    <xf numFmtId="0" fontId="49" fillId="0" borderId="0" xfId="0" applyFont="1"/>
    <xf numFmtId="0" fontId="0" fillId="0" borderId="39" xfId="0" applyBorder="1"/>
    <xf numFmtId="0" fontId="50" fillId="0" borderId="0" xfId="0" applyFont="1"/>
    <xf numFmtId="0" fontId="48" fillId="0" borderId="0" xfId="0" applyFont="1" applyFill="1" applyBorder="1"/>
    <xf numFmtId="178" fontId="7" fillId="10" borderId="0" xfId="0" applyNumberFormat="1" applyFont="1" applyFill="1" applyBorder="1"/>
    <xf numFmtId="0" fontId="0" fillId="20" borderId="0" xfId="0" applyFill="1" applyBorder="1" applyAlignment="1">
      <alignment horizontal="right"/>
    </xf>
    <xf numFmtId="179" fontId="27" fillId="18" borderId="0" xfId="0" applyNumberFormat="1" applyFont="1" applyFill="1" applyBorder="1"/>
    <xf numFmtId="0" fontId="0" fillId="19" borderId="0" xfId="0" applyFill="1" applyBorder="1" applyAlignment="1">
      <alignment horizontal="right"/>
    </xf>
    <xf numFmtId="2" fontId="0" fillId="18" borderId="0" xfId="0" applyNumberFormat="1" applyFill="1" applyBorder="1" applyAlignment="1">
      <alignment horizontal="right"/>
    </xf>
    <xf numFmtId="0" fontId="3" fillId="0" borderId="11" xfId="4" applyFill="1" applyBorder="1"/>
    <xf numFmtId="0" fontId="3" fillId="0" borderId="0" xfId="4" applyFont="1"/>
    <xf numFmtId="179" fontId="3" fillId="0" borderId="11" xfId="4" applyNumberFormat="1" applyBorder="1"/>
    <xf numFmtId="0" fontId="0" fillId="19" borderId="0" xfId="0" applyFill="1" applyBorder="1"/>
    <xf numFmtId="2" fontId="3" fillId="0" borderId="0" xfId="0" applyNumberFormat="1" applyFont="1" applyFill="1" applyBorder="1"/>
    <xf numFmtId="0" fontId="3" fillId="20" borderId="0" xfId="0" applyFont="1" applyFill="1" applyBorder="1"/>
    <xf numFmtId="0" fontId="3" fillId="0" borderId="8" xfId="4" applyBorder="1"/>
    <xf numFmtId="189" fontId="0" fillId="10" borderId="0" xfId="0" applyNumberFormat="1" applyFill="1" applyBorder="1"/>
    <xf numFmtId="189" fontId="0" fillId="4" borderId="25" xfId="0" applyNumberFormat="1" applyFill="1" applyBorder="1"/>
    <xf numFmtId="1" fontId="3" fillId="0" borderId="0" xfId="4" applyNumberFormat="1"/>
    <xf numFmtId="0" fontId="0" fillId="0" borderId="0" xfId="0" applyNumberFormat="1" applyBorder="1"/>
    <xf numFmtId="0" fontId="0" fillId="0" borderId="0" xfId="0" applyBorder="1" applyAlignment="1"/>
    <xf numFmtId="0" fontId="15" fillId="0" borderId="33" xfId="0" applyFont="1" applyBorder="1"/>
    <xf numFmtId="0" fontId="15" fillId="0" borderId="0" xfId="0" applyFont="1" applyBorder="1"/>
    <xf numFmtId="0" fontId="54" fillId="3" borderId="43" xfId="4" applyFont="1" applyFill="1" applyBorder="1" applyAlignment="1">
      <alignment horizontal="center" vertical="center"/>
    </xf>
    <xf numFmtId="0" fontId="54" fillId="3" borderId="44" xfId="4" applyFont="1" applyFill="1" applyBorder="1" applyAlignment="1">
      <alignment horizontal="center" vertical="center"/>
    </xf>
    <xf numFmtId="11" fontId="49" fillId="0" borderId="0" xfId="0" applyNumberFormat="1" applyFont="1"/>
    <xf numFmtId="0" fontId="59" fillId="0" borderId="0" xfId="0" applyFont="1" applyFill="1" applyBorder="1"/>
    <xf numFmtId="0" fontId="3" fillId="8" borderId="35" xfId="0" applyFont="1" applyFill="1" applyBorder="1" applyAlignment="1" applyProtection="1">
      <alignment horizontal="right" vertical="center"/>
    </xf>
    <xf numFmtId="0" fontId="3" fillId="0" borderId="24" xfId="0" applyFont="1" applyFill="1" applyBorder="1"/>
    <xf numFmtId="0" fontId="3" fillId="8" borderId="39" xfId="0" applyFont="1" applyFill="1" applyBorder="1" applyAlignment="1" applyProtection="1">
      <alignment horizontal="right"/>
    </xf>
    <xf numFmtId="1" fontId="3" fillId="8" borderId="39" xfId="0" applyNumberFormat="1" applyFont="1" applyFill="1" applyBorder="1" applyProtection="1"/>
    <xf numFmtId="179" fontId="17" fillId="12" borderId="0" xfId="0" applyNumberFormat="1" applyFont="1" applyFill="1" applyBorder="1" applyProtection="1"/>
    <xf numFmtId="0" fontId="3" fillId="12" borderId="0" xfId="0" applyNumberFormat="1" applyFont="1" applyFill="1" applyBorder="1" applyAlignment="1" applyProtection="1">
      <alignment horizontal="right" vertical="center"/>
    </xf>
    <xf numFmtId="178" fontId="17" fillId="12" borderId="0" xfId="0" applyNumberFormat="1" applyFont="1" applyFill="1" applyBorder="1" applyProtection="1"/>
    <xf numFmtId="0" fontId="3" fillId="12" borderId="0" xfId="0" applyFont="1" applyFill="1" applyBorder="1" applyAlignment="1" applyProtection="1">
      <alignment vertical="center"/>
    </xf>
    <xf numFmtId="0" fontId="4" fillId="12" borderId="0" xfId="0" applyFont="1" applyFill="1" applyBorder="1" applyAlignment="1" applyProtection="1">
      <alignment vertical="center"/>
    </xf>
    <xf numFmtId="0" fontId="61" fillId="8" borderId="0" xfId="0" applyFont="1" applyFill="1" applyBorder="1" applyAlignment="1" applyProtection="1">
      <alignment horizontal="right" vertical="center"/>
    </xf>
    <xf numFmtId="178" fontId="3" fillId="0" borderId="0" xfId="4" applyNumberFormat="1"/>
    <xf numFmtId="179" fontId="3" fillId="0" borderId="0" xfId="4" applyNumberFormat="1"/>
    <xf numFmtId="177" fontId="3" fillId="0" borderId="0" xfId="4" applyNumberFormat="1"/>
    <xf numFmtId="10" fontId="3" fillId="0" borderId="0" xfId="4" applyNumberFormat="1"/>
    <xf numFmtId="0" fontId="4" fillId="4" borderId="49" xfId="4" applyFont="1" applyFill="1" applyBorder="1" applyAlignment="1"/>
    <xf numFmtId="0" fontId="7" fillId="4" borderId="35" xfId="4" applyFont="1" applyFill="1" applyBorder="1" applyAlignment="1"/>
    <xf numFmtId="178" fontId="3" fillId="4" borderId="52" xfId="4" applyNumberFormat="1" applyFill="1" applyBorder="1"/>
    <xf numFmtId="178" fontId="4" fillId="4" borderId="49" xfId="4" applyNumberFormat="1" applyFont="1" applyFill="1" applyBorder="1" applyAlignment="1"/>
    <xf numFmtId="178" fontId="7" fillId="4" borderId="50" xfId="4" applyNumberFormat="1" applyFont="1" applyFill="1" applyBorder="1" applyAlignment="1"/>
    <xf numFmtId="0" fontId="7" fillId="4" borderId="50" xfId="4" applyFont="1" applyFill="1" applyBorder="1" applyAlignment="1"/>
    <xf numFmtId="178" fontId="15" fillId="4" borderId="52" xfId="4" applyNumberFormat="1" applyFont="1" applyFill="1" applyBorder="1"/>
    <xf numFmtId="179" fontId="4" fillId="4" borderId="50" xfId="4" applyNumberFormat="1" applyFont="1" applyFill="1" applyBorder="1" applyAlignment="1">
      <alignment horizontal="left"/>
    </xf>
    <xf numFmtId="178" fontId="7" fillId="4" borderId="50" xfId="4" applyNumberFormat="1" applyFont="1" applyFill="1" applyBorder="1" applyAlignment="1">
      <alignment horizontal="center"/>
    </xf>
    <xf numFmtId="178" fontId="4" fillId="4" borderId="49" xfId="4" applyNumberFormat="1" applyFont="1" applyFill="1" applyBorder="1"/>
    <xf numFmtId="177" fontId="3" fillId="4" borderId="50" xfId="4" applyNumberFormat="1" applyFill="1" applyBorder="1"/>
    <xf numFmtId="177" fontId="3" fillId="4" borderId="52" xfId="4" applyNumberFormat="1" applyFill="1" applyBorder="1"/>
    <xf numFmtId="178" fontId="4" fillId="4" borderId="41" xfId="4" applyNumberFormat="1" applyFont="1" applyFill="1" applyBorder="1"/>
    <xf numFmtId="178" fontId="3" fillId="4" borderId="42" xfId="4" applyNumberFormat="1" applyFill="1" applyBorder="1"/>
    <xf numFmtId="178" fontId="4" fillId="4" borderId="41" xfId="4" applyNumberFormat="1" applyFont="1" applyFill="1" applyBorder="1" applyAlignment="1">
      <alignment horizontal="left"/>
    </xf>
    <xf numFmtId="178" fontId="4" fillId="4" borderId="42" xfId="4" applyNumberFormat="1" applyFont="1" applyFill="1" applyBorder="1" applyAlignment="1">
      <alignment horizontal="left"/>
    </xf>
    <xf numFmtId="178" fontId="3" fillId="4" borderId="54" xfId="4" applyNumberFormat="1" applyFill="1" applyBorder="1"/>
    <xf numFmtId="0" fontId="16" fillId="3" borderId="4" xfId="4" applyFont="1" applyFill="1" applyBorder="1" applyAlignment="1">
      <alignment vertical="center"/>
    </xf>
    <xf numFmtId="0" fontId="16" fillId="3" borderId="4" xfId="4" applyFont="1" applyFill="1" applyBorder="1" applyAlignment="1"/>
    <xf numFmtId="0" fontId="12" fillId="3" borderId="0" xfId="4" applyFont="1" applyFill="1"/>
    <xf numFmtId="0" fontId="3" fillId="3" borderId="0" xfId="4" applyFill="1"/>
    <xf numFmtId="0" fontId="4" fillId="2" borderId="5" xfId="4" applyFont="1" applyFill="1" applyBorder="1" applyAlignment="1">
      <alignment horizontal="center" vertical="center" wrapText="1"/>
    </xf>
    <xf numFmtId="0" fontId="4" fillId="2" borderId="6" xfId="4" applyFont="1" applyFill="1" applyBorder="1" applyAlignment="1">
      <alignment horizontal="center" vertical="center" wrapText="1"/>
    </xf>
    <xf numFmtId="178" fontId="4" fillId="2" borderId="7" xfId="4" applyNumberFormat="1" applyFont="1" applyFill="1" applyBorder="1" applyAlignment="1">
      <alignment horizontal="center" vertical="center" wrapText="1"/>
    </xf>
    <xf numFmtId="178" fontId="4" fillId="2" borderId="6" xfId="4" applyNumberFormat="1" applyFont="1" applyFill="1" applyBorder="1" applyAlignment="1">
      <alignment horizontal="center" vertical="center" wrapText="1"/>
    </xf>
    <xf numFmtId="1" fontId="4" fillId="2" borderId="55" xfId="4" applyNumberFormat="1" applyFont="1" applyFill="1" applyBorder="1" applyAlignment="1">
      <alignment horizontal="center" vertical="center" wrapText="1"/>
    </xf>
    <xf numFmtId="1" fontId="4" fillId="2" borderId="6" xfId="4" applyNumberFormat="1" applyFont="1" applyFill="1" applyBorder="1" applyAlignment="1">
      <alignment horizontal="center" vertical="center" wrapText="1"/>
    </xf>
    <xf numFmtId="178" fontId="4" fillId="2" borderId="5" xfId="4" applyNumberFormat="1" applyFont="1" applyFill="1" applyBorder="1" applyAlignment="1">
      <alignment horizontal="center" vertical="center" wrapText="1"/>
    </xf>
    <xf numFmtId="179" fontId="4" fillId="2" borderId="20" xfId="4" applyNumberFormat="1" applyFont="1" applyFill="1" applyBorder="1" applyAlignment="1">
      <alignment horizontal="center" vertical="center" wrapText="1"/>
    </xf>
    <xf numFmtId="177" fontId="4" fillId="2" borderId="6" xfId="4" applyNumberFormat="1" applyFont="1" applyFill="1" applyBorder="1" applyAlignment="1">
      <alignment horizontal="center" vertical="center" wrapText="1"/>
    </xf>
    <xf numFmtId="177" fontId="4" fillId="2" borderId="7" xfId="4" applyNumberFormat="1" applyFont="1" applyFill="1" applyBorder="1" applyAlignment="1">
      <alignment horizontal="center" vertical="center" wrapText="1"/>
    </xf>
    <xf numFmtId="178" fontId="4" fillId="2" borderId="19" xfId="4" applyNumberFormat="1" applyFont="1" applyFill="1" applyBorder="1" applyAlignment="1">
      <alignment horizontal="center" vertical="center" wrapText="1"/>
    </xf>
    <xf numFmtId="178" fontId="4" fillId="2" borderId="21" xfId="4" applyNumberFormat="1" applyFont="1" applyFill="1" applyBorder="1" applyAlignment="1">
      <alignment horizontal="center" vertical="center" wrapText="1"/>
    </xf>
    <xf numFmtId="178" fontId="4" fillId="2" borderId="56" xfId="4" applyNumberFormat="1" applyFont="1" applyFill="1" applyBorder="1" applyAlignment="1">
      <alignment horizontal="center" vertical="center" wrapText="1"/>
    </xf>
    <xf numFmtId="178" fontId="4" fillId="2" borderId="57" xfId="4" applyNumberFormat="1" applyFont="1" applyFill="1" applyBorder="1" applyAlignment="1">
      <alignment horizontal="center" vertical="center" wrapText="1"/>
    </xf>
    <xf numFmtId="178" fontId="4" fillId="2" borderId="58" xfId="4" applyNumberFormat="1" applyFont="1" applyFill="1" applyBorder="1" applyAlignment="1">
      <alignment horizontal="center" vertical="center" wrapText="1"/>
    </xf>
    <xf numFmtId="2" fontId="4" fillId="7" borderId="14" xfId="4" applyNumberFormat="1" applyFont="1" applyFill="1" applyBorder="1" applyAlignment="1">
      <alignment horizontal="center" vertical="center" wrapText="1"/>
    </xf>
    <xf numFmtId="0" fontId="4" fillId="2" borderId="53" xfId="4" applyFont="1" applyFill="1" applyBorder="1" applyAlignment="1">
      <alignment horizontal="center" vertical="center" wrapText="1"/>
    </xf>
    <xf numFmtId="1" fontId="4" fillId="2" borderId="0" xfId="4" quotePrefix="1" applyNumberFormat="1" applyFont="1" applyFill="1" applyBorder="1" applyAlignment="1">
      <alignment horizontal="center" vertical="center" wrapText="1"/>
    </xf>
    <xf numFmtId="0" fontId="3" fillId="0" borderId="0" xfId="4" quotePrefix="1"/>
    <xf numFmtId="0" fontId="4" fillId="2" borderId="0" xfId="4" applyFont="1" applyFill="1" applyBorder="1" applyAlignment="1">
      <alignment horizontal="center" vertical="center" wrapText="1"/>
    </xf>
    <xf numFmtId="0" fontId="4" fillId="5" borderId="8" xfId="4" applyFont="1" applyFill="1" applyBorder="1" applyAlignment="1"/>
    <xf numFmtId="0" fontId="4" fillId="5" borderId="9" xfId="4" applyFont="1" applyFill="1" applyBorder="1" applyAlignment="1"/>
    <xf numFmtId="0" fontId="4" fillId="5" borderId="10" xfId="4" applyFont="1" applyFill="1" applyBorder="1" applyAlignment="1"/>
    <xf numFmtId="0" fontId="4" fillId="5" borderId="10" xfId="4" applyFont="1" applyFill="1" applyBorder="1"/>
    <xf numFmtId="0" fontId="4" fillId="5" borderId="11" xfId="4" applyFont="1" applyFill="1" applyBorder="1"/>
    <xf numFmtId="0" fontId="4" fillId="0" borderId="0" xfId="4" applyFont="1" applyFill="1" applyBorder="1"/>
    <xf numFmtId="181" fontId="3" fillId="0" borderId="0" xfId="4" applyNumberFormat="1"/>
    <xf numFmtId="11" fontId="3" fillId="0" borderId="0" xfId="4" applyNumberFormat="1"/>
    <xf numFmtId="2" fontId="3" fillId="0" borderId="11" xfId="4" applyNumberFormat="1" applyBorder="1"/>
    <xf numFmtId="1" fontId="3" fillId="0" borderId="0" xfId="4" applyNumberFormat="1" applyFont="1" applyProtection="1">
      <protection locked="0"/>
    </xf>
    <xf numFmtId="10" fontId="3" fillId="0" borderId="0" xfId="4" applyNumberFormat="1" applyFont="1" applyProtection="1">
      <protection locked="0"/>
    </xf>
    <xf numFmtId="10" fontId="3" fillId="0" borderId="0" xfId="4" applyNumberFormat="1" applyProtection="1">
      <protection locked="0"/>
    </xf>
    <xf numFmtId="0" fontId="4" fillId="6" borderId="12" xfId="4" applyFont="1" applyFill="1" applyBorder="1"/>
    <xf numFmtId="0" fontId="3" fillId="2" borderId="11" xfId="4" applyFont="1" applyFill="1" applyBorder="1" applyProtection="1">
      <protection locked="0"/>
    </xf>
    <xf numFmtId="0" fontId="3" fillId="0" borderId="11" xfId="4" applyFont="1" applyBorder="1"/>
    <xf numFmtId="0" fontId="4" fillId="6" borderId="11" xfId="4" applyFont="1" applyFill="1" applyBorder="1"/>
    <xf numFmtId="0" fontId="3" fillId="0" borderId="11" xfId="4" applyFont="1" applyFill="1" applyBorder="1"/>
    <xf numFmtId="0" fontId="53" fillId="0" borderId="11" xfId="4" applyFont="1" applyBorder="1"/>
    <xf numFmtId="0" fontId="3" fillId="4" borderId="11" xfId="4" applyFont="1" applyFill="1" applyBorder="1"/>
    <xf numFmtId="0" fontId="3" fillId="4" borderId="11" xfId="4" applyFont="1" applyFill="1" applyBorder="1" applyProtection="1">
      <protection locked="0"/>
    </xf>
    <xf numFmtId="0" fontId="14" fillId="3" borderId="0" xfId="4" applyFont="1" applyFill="1"/>
    <xf numFmtId="0" fontId="4" fillId="5" borderId="8" xfId="4" applyFont="1" applyFill="1" applyBorder="1"/>
    <xf numFmtId="0" fontId="4" fillId="5" borderId="9" xfId="4" applyFont="1" applyFill="1" applyBorder="1"/>
    <xf numFmtId="0" fontId="4" fillId="5" borderId="15" xfId="4" applyFont="1" applyFill="1" applyBorder="1"/>
    <xf numFmtId="0" fontId="3" fillId="4" borderId="11" xfId="4" applyFill="1" applyBorder="1"/>
    <xf numFmtId="179" fontId="15" fillId="22" borderId="11" xfId="4" applyNumberFormat="1" applyFont="1" applyFill="1" applyBorder="1"/>
    <xf numFmtId="0" fontId="3" fillId="0" borderId="15" xfId="4" applyFont="1" applyBorder="1"/>
    <xf numFmtId="11" fontId="3" fillId="0" borderId="8" xfId="4" applyNumberFormat="1" applyBorder="1"/>
    <xf numFmtId="11" fontId="3" fillId="0" borderId="11" xfId="4" applyNumberFormat="1" applyBorder="1"/>
    <xf numFmtId="1" fontId="15" fillId="22" borderId="11" xfId="4" applyNumberFormat="1" applyFont="1" applyFill="1" applyBorder="1"/>
    <xf numFmtId="1" fontId="62" fillId="22" borderId="11" xfId="4" applyNumberFormat="1" applyFont="1" applyFill="1" applyBorder="1"/>
    <xf numFmtId="1" fontId="3" fillId="0" borderId="8" xfId="4" applyNumberFormat="1" applyBorder="1"/>
    <xf numFmtId="0" fontId="3" fillId="23" borderId="11" xfId="4" applyFill="1" applyBorder="1"/>
    <xf numFmtId="1" fontId="15" fillId="22" borderId="11" xfId="4" applyNumberFormat="1" applyFont="1" applyFill="1" applyBorder="1" applyProtection="1">
      <protection locked="0"/>
    </xf>
    <xf numFmtId="188" fontId="3" fillId="0" borderId="11" xfId="4" applyNumberFormat="1" applyBorder="1"/>
    <xf numFmtId="0" fontId="4" fillId="6" borderId="8" xfId="4" applyFont="1" applyFill="1" applyBorder="1"/>
    <xf numFmtId="0" fontId="4" fillId="0" borderId="0" xfId="4" applyFont="1" applyFill="1" applyBorder="1" applyAlignment="1">
      <alignment horizontal="right"/>
    </xf>
    <xf numFmtId="0" fontId="3" fillId="6" borderId="8" xfId="4" applyFill="1" applyBorder="1"/>
    <xf numFmtId="0" fontId="3" fillId="0" borderId="47" xfId="4" applyFont="1" applyFill="1" applyBorder="1"/>
    <xf numFmtId="0" fontId="53" fillId="0" borderId="15" xfId="4" applyFont="1" applyBorder="1"/>
    <xf numFmtId="0" fontId="3" fillId="6" borderId="8" xfId="4" applyFont="1" applyFill="1" applyBorder="1"/>
    <xf numFmtId="189" fontId="3" fillId="0" borderId="47" xfId="4" applyNumberFormat="1" applyFont="1" applyFill="1" applyBorder="1"/>
    <xf numFmtId="188" fontId="3" fillId="0" borderId="11" xfId="4" applyNumberFormat="1" applyFont="1" applyFill="1" applyBorder="1"/>
    <xf numFmtId="0" fontId="4" fillId="0" borderId="11" xfId="4" applyFont="1" applyFill="1" applyBorder="1"/>
    <xf numFmtId="0" fontId="4" fillId="6" borderId="48" xfId="4" applyFont="1" applyFill="1" applyBorder="1"/>
    <xf numFmtId="0" fontId="3" fillId="0" borderId="16" xfId="4" applyFont="1" applyBorder="1"/>
    <xf numFmtId="11" fontId="3" fillId="0" borderId="48" xfId="4" applyNumberFormat="1" applyBorder="1"/>
    <xf numFmtId="0" fontId="3" fillId="0" borderId="12" xfId="4" applyFont="1" applyFill="1" applyBorder="1"/>
    <xf numFmtId="0" fontId="4" fillId="5" borderId="0" xfId="4" applyFont="1" applyFill="1"/>
    <xf numFmtId="0" fontId="4" fillId="5" borderId="0" xfId="4" applyFont="1" applyFill="1" applyBorder="1"/>
    <xf numFmtId="0" fontId="4" fillId="5" borderId="14" xfId="4" applyFont="1" applyFill="1" applyBorder="1"/>
    <xf numFmtId="0" fontId="3" fillId="0" borderId="11" xfId="4" applyFont="1" applyFill="1" applyBorder="1" applyProtection="1">
      <protection locked="0"/>
    </xf>
    <xf numFmtId="0" fontId="3" fillId="6" borderId="9" xfId="4" applyFill="1" applyBorder="1"/>
    <xf numFmtId="0" fontId="3" fillId="0" borderId="47" xfId="4" applyFont="1" applyFill="1" applyBorder="1" applyProtection="1">
      <protection locked="0"/>
    </xf>
    <xf numFmtId="0" fontId="4" fillId="5" borderId="4" xfId="4" applyFont="1" applyFill="1" applyBorder="1" applyAlignment="1"/>
    <xf numFmtId="0" fontId="4" fillId="5" borderId="12" xfId="4" applyFont="1" applyFill="1" applyBorder="1"/>
    <xf numFmtId="0" fontId="3" fillId="6" borderId="11" xfId="4" applyFill="1" applyBorder="1"/>
    <xf numFmtId="0" fontId="3" fillId="0" borderId="51" xfId="4" applyFont="1" applyFill="1" applyBorder="1" applyProtection="1">
      <protection locked="0"/>
    </xf>
    <xf numFmtId="0" fontId="3" fillId="21" borderId="51" xfId="4" applyFont="1" applyFill="1" applyBorder="1" applyProtection="1">
      <protection locked="0"/>
    </xf>
    <xf numFmtId="0" fontId="3" fillId="0" borderId="0" xfId="4" applyFont="1" applyFill="1" applyBorder="1"/>
    <xf numFmtId="189" fontId="3" fillId="0" borderId="11" xfId="4" applyNumberFormat="1" applyBorder="1"/>
    <xf numFmtId="0" fontId="4" fillId="5" borderId="0" xfId="4" applyFont="1" applyFill="1" applyBorder="1" applyAlignment="1" applyProtection="1">
      <protection locked="0"/>
    </xf>
    <xf numFmtId="0" fontId="4" fillId="5" borderId="13" xfId="4" applyFont="1" applyFill="1" applyBorder="1"/>
    <xf numFmtId="0" fontId="3" fillId="6" borderId="11" xfId="4" applyFont="1" applyFill="1" applyBorder="1"/>
    <xf numFmtId="0" fontId="4" fillId="0" borderId="0" xfId="4" applyFont="1" applyAlignment="1">
      <alignment horizontal="right"/>
    </xf>
    <xf numFmtId="180" fontId="58" fillId="0" borderId="0" xfId="4" applyNumberFormat="1" applyFont="1"/>
    <xf numFmtId="0" fontId="58" fillId="0" borderId="0" xfId="4" applyFont="1"/>
    <xf numFmtId="0" fontId="48" fillId="0" borderId="0" xfId="4" applyNumberFormat="1" applyFont="1"/>
    <xf numFmtId="179" fontId="3" fillId="0" borderId="0" xfId="4" applyNumberFormat="1" applyFont="1"/>
    <xf numFmtId="178" fontId="3" fillId="0" borderId="0" xfId="4" applyNumberFormat="1" applyFont="1"/>
    <xf numFmtId="0" fontId="4" fillId="0" borderId="0" xfId="4" applyNumberFormat="1" applyFont="1"/>
    <xf numFmtId="2" fontId="4" fillId="0" borderId="0" xfId="4" applyNumberFormat="1" applyFont="1"/>
    <xf numFmtId="0" fontId="4" fillId="0" borderId="0" xfId="4" applyFont="1"/>
    <xf numFmtId="178" fontId="48" fillId="0" borderId="0" xfId="4" applyNumberFormat="1" applyFont="1"/>
    <xf numFmtId="1" fontId="4" fillId="0" borderId="0" xfId="4" applyNumberFormat="1" applyFont="1"/>
    <xf numFmtId="178" fontId="4" fillId="0" borderId="0" xfId="4" applyNumberFormat="1" applyFont="1"/>
    <xf numFmtId="1" fontId="4" fillId="0" borderId="0" xfId="4" applyNumberFormat="1" applyFont="1" applyBorder="1"/>
    <xf numFmtId="0" fontId="3" fillId="0" borderId="0" xfId="4" applyNumberFormat="1"/>
    <xf numFmtId="2" fontId="7" fillId="4" borderId="50" xfId="4" applyNumberFormat="1" applyFont="1" applyFill="1" applyBorder="1" applyAlignment="1"/>
    <xf numFmtId="2" fontId="4" fillId="2" borderId="53" xfId="4" applyNumberFormat="1" applyFont="1" applyFill="1" applyBorder="1" applyAlignment="1">
      <alignment horizontal="center" vertical="center" wrapText="1"/>
    </xf>
    <xf numFmtId="2" fontId="7" fillId="4" borderId="52" xfId="4" applyNumberFormat="1" applyFont="1" applyFill="1" applyBorder="1" applyAlignment="1"/>
    <xf numFmtId="2" fontId="4" fillId="2" borderId="18" xfId="4" applyNumberFormat="1" applyFont="1" applyFill="1" applyBorder="1" applyAlignment="1">
      <alignment horizontal="center" vertical="center" wrapText="1"/>
    </xf>
    <xf numFmtId="179" fontId="7" fillId="4" borderId="50" xfId="4" applyNumberFormat="1" applyFont="1" applyFill="1" applyBorder="1" applyAlignment="1"/>
    <xf numFmtId="179" fontId="4" fillId="2" borderId="42" xfId="4" applyNumberFormat="1" applyFont="1" applyFill="1" applyBorder="1" applyAlignment="1">
      <alignment horizontal="center" vertical="center" wrapText="1"/>
    </xf>
    <xf numFmtId="191" fontId="3" fillId="0" borderId="0" xfId="4" applyNumberFormat="1"/>
    <xf numFmtId="191" fontId="7" fillId="4" borderId="50" xfId="4" applyNumberFormat="1" applyFont="1" applyFill="1" applyBorder="1" applyAlignment="1"/>
    <xf numFmtId="191" fontId="4" fillId="2" borderId="6" xfId="4" applyNumberFormat="1" applyFont="1" applyFill="1" applyBorder="1" applyAlignment="1">
      <alignment horizontal="center" vertical="center" wrapText="1"/>
    </xf>
    <xf numFmtId="191" fontId="4" fillId="2" borderId="19" xfId="4" applyNumberFormat="1" applyFont="1" applyFill="1" applyBorder="1" applyAlignment="1">
      <alignment horizontal="center" vertical="center" wrapText="1"/>
    </xf>
    <xf numFmtId="191" fontId="4" fillId="2" borderId="41" xfId="4" applyNumberFormat="1" applyFont="1" applyFill="1" applyBorder="1" applyAlignment="1">
      <alignment horizontal="center" vertical="center" wrapText="1"/>
    </xf>
    <xf numFmtId="191" fontId="4" fillId="2" borderId="53" xfId="4" applyNumberFormat="1" applyFont="1" applyFill="1" applyBorder="1" applyAlignment="1">
      <alignment horizontal="center" vertical="center" wrapText="1"/>
    </xf>
    <xf numFmtId="191" fontId="4" fillId="2" borderId="42" xfId="4" applyNumberFormat="1" applyFont="1" applyFill="1" applyBorder="1" applyAlignment="1">
      <alignment horizontal="center" vertical="center" wrapText="1"/>
    </xf>
    <xf numFmtId="191" fontId="4" fillId="0" borderId="0" xfId="4" applyNumberFormat="1" applyFont="1"/>
    <xf numFmtId="0" fontId="0" fillId="0" borderId="0" xfId="0" applyNumberFormat="1" applyBorder="1" applyAlignment="1">
      <alignment horizontal="left"/>
    </xf>
    <xf numFmtId="2" fontId="4" fillId="2" borderId="58" xfId="4" applyNumberFormat="1" applyFont="1" applyFill="1" applyBorder="1" applyAlignment="1">
      <alignment horizontal="center" vertical="center" wrapText="1"/>
    </xf>
    <xf numFmtId="2" fontId="4" fillId="2" borderId="21" xfId="4" applyNumberFormat="1" applyFont="1" applyFill="1" applyBorder="1" applyAlignment="1">
      <alignment horizontal="center" vertical="center" wrapText="1"/>
    </xf>
    <xf numFmtId="0" fontId="4" fillId="8" borderId="0" xfId="0" applyFont="1" applyFill="1" applyBorder="1" applyAlignment="1" applyProtection="1">
      <alignment vertical="top"/>
    </xf>
    <xf numFmtId="180" fontId="3" fillId="2" borderId="11" xfId="4" applyNumberFormat="1" applyFont="1" applyFill="1" applyBorder="1" applyProtection="1">
      <protection locked="0"/>
    </xf>
    <xf numFmtId="1" fontId="3" fillId="0" borderId="47" xfId="4" applyNumberFormat="1" applyFont="1" applyFill="1" applyBorder="1"/>
    <xf numFmtId="178" fontId="4" fillId="0" borderId="0" xfId="4" applyNumberFormat="1" applyFont="1" applyFill="1" applyBorder="1"/>
    <xf numFmtId="0" fontId="0" fillId="12" borderId="0" xfId="0" applyFill="1"/>
    <xf numFmtId="0" fontId="0" fillId="12" borderId="0" xfId="0" applyFill="1" applyBorder="1"/>
    <xf numFmtId="0" fontId="0" fillId="12" borderId="0" xfId="0" applyFill="1" applyAlignment="1"/>
    <xf numFmtId="0" fontId="0" fillId="0" borderId="0" xfId="0" applyAlignment="1"/>
    <xf numFmtId="0" fontId="64" fillId="0" borderId="0" xfId="0" applyFont="1" applyFill="1"/>
    <xf numFmtId="0" fontId="0" fillId="0" borderId="0" xfId="0" applyFill="1" applyAlignment="1"/>
    <xf numFmtId="0" fontId="15" fillId="0" borderId="0" xfId="0" applyFont="1" applyFill="1"/>
    <xf numFmtId="0" fontId="62" fillId="0" borderId="0" xfId="1" applyFont="1" applyFill="1"/>
    <xf numFmtId="0" fontId="0" fillId="0" borderId="0" xfId="0" applyAlignment="1">
      <alignment horizontal="left"/>
    </xf>
    <xf numFmtId="1" fontId="15" fillId="4" borderId="0" xfId="0" applyNumberFormat="1" applyFont="1" applyFill="1" applyBorder="1" applyAlignment="1">
      <alignment horizontal="right"/>
    </xf>
    <xf numFmtId="1" fontId="49" fillId="8" borderId="0" xfId="0" applyNumberFormat="1" applyFont="1" applyFill="1" applyBorder="1" applyAlignment="1" applyProtection="1">
      <alignment horizontal="right"/>
    </xf>
    <xf numFmtId="1" fontId="0" fillId="0" borderId="0" xfId="0" applyNumberFormat="1" applyFill="1" applyBorder="1"/>
    <xf numFmtId="2" fontId="0" fillId="0" borderId="0" xfId="0" applyNumberFormat="1" applyFill="1" applyBorder="1"/>
    <xf numFmtId="0" fontId="3" fillId="8" borderId="25" xfId="0" applyFont="1" applyFill="1" applyBorder="1" applyAlignment="1" applyProtection="1">
      <alignment horizontal="right"/>
    </xf>
    <xf numFmtId="1" fontId="50" fillId="15" borderId="0" xfId="0" applyNumberFormat="1" applyFont="1" applyFill="1" applyBorder="1" applyAlignment="1" applyProtection="1">
      <alignment horizontal="right"/>
      <protection locked="0"/>
    </xf>
    <xf numFmtId="0" fontId="48" fillId="0" borderId="0" xfId="0" applyFont="1" applyBorder="1" applyAlignment="1">
      <alignment horizontal="left"/>
    </xf>
    <xf numFmtId="0" fontId="48" fillId="0" borderId="0" xfId="0" applyFont="1" applyBorder="1" applyAlignment="1">
      <alignment horizontal="right"/>
    </xf>
    <xf numFmtId="0" fontId="0" fillId="0" borderId="22" xfId="0" applyBorder="1" applyAlignment="1">
      <alignment horizontal="right"/>
    </xf>
    <xf numFmtId="0" fontId="4" fillId="0" borderId="0" xfId="0" applyFont="1" applyBorder="1" applyAlignment="1">
      <alignment horizontal="right"/>
    </xf>
    <xf numFmtId="0" fontId="48" fillId="0" borderId="0" xfId="4" applyFont="1" applyBorder="1" applyAlignment="1">
      <alignment horizontal="left"/>
    </xf>
    <xf numFmtId="0" fontId="48" fillId="0" borderId="0" xfId="0" applyFont="1" applyBorder="1" applyAlignment="1">
      <alignment horizontal="center"/>
    </xf>
    <xf numFmtId="0" fontId="21" fillId="0" borderId="49" xfId="0" applyFont="1" applyBorder="1"/>
    <xf numFmtId="0" fontId="0" fillId="0" borderId="50" xfId="0" applyBorder="1"/>
    <xf numFmtId="0" fontId="4" fillId="0" borderId="50" xfId="0" applyFont="1" applyBorder="1"/>
    <xf numFmtId="0" fontId="4" fillId="0" borderId="22" xfId="4" applyFont="1" applyBorder="1" applyAlignment="1">
      <alignment horizontal="right"/>
    </xf>
    <xf numFmtId="0" fontId="3" fillId="0" borderId="22" xfId="4" applyBorder="1" applyAlignment="1">
      <alignment horizontal="right"/>
    </xf>
    <xf numFmtId="0" fontId="3" fillId="12" borderId="49" xfId="0" applyFont="1" applyFill="1" applyBorder="1" applyProtection="1"/>
    <xf numFmtId="0" fontId="3" fillId="0" borderId="0" xfId="0" applyFont="1" applyBorder="1" applyAlignment="1">
      <alignment horizontal="left"/>
    </xf>
    <xf numFmtId="0" fontId="3" fillId="12" borderId="0" xfId="0" applyFont="1" applyFill="1" applyBorder="1"/>
    <xf numFmtId="1" fontId="3" fillId="8" borderId="25" xfId="0" applyNumberFormat="1" applyFont="1" applyFill="1" applyBorder="1" applyAlignment="1" applyProtection="1">
      <alignment horizontal="right" vertical="center"/>
    </xf>
    <xf numFmtId="0" fontId="3" fillId="8" borderId="59" xfId="0" applyFont="1" applyFill="1" applyBorder="1" applyAlignment="1" applyProtection="1">
      <alignment vertical="center"/>
    </xf>
    <xf numFmtId="0" fontId="3" fillId="8" borderId="60" xfId="0" applyFont="1" applyFill="1" applyBorder="1" applyAlignment="1" applyProtection="1">
      <alignment vertical="center"/>
    </xf>
    <xf numFmtId="0" fontId="3" fillId="8" borderId="60" xfId="0" applyFont="1" applyFill="1" applyBorder="1" applyAlignment="1" applyProtection="1">
      <alignment horizontal="right" vertical="center"/>
    </xf>
    <xf numFmtId="0" fontId="4" fillId="8" borderId="60" xfId="0" applyFont="1" applyFill="1" applyBorder="1" applyAlignment="1" applyProtection="1">
      <alignment horizontal="right" vertical="center"/>
    </xf>
    <xf numFmtId="0" fontId="3" fillId="8" borderId="60" xfId="0" applyNumberFormat="1" applyFont="1" applyFill="1" applyBorder="1" applyAlignment="1" applyProtection="1">
      <alignment horizontal="right" vertical="center"/>
    </xf>
    <xf numFmtId="0" fontId="3" fillId="8" borderId="61" xfId="0" applyFont="1" applyFill="1" applyBorder="1" applyAlignment="1" applyProtection="1">
      <alignment vertical="center"/>
    </xf>
    <xf numFmtId="0" fontId="3" fillId="0" borderId="0" xfId="0" applyFont="1" applyAlignment="1">
      <alignment horizontal="right"/>
    </xf>
    <xf numFmtId="0" fontId="66" fillId="0" borderId="22" xfId="0" applyFont="1" applyBorder="1"/>
    <xf numFmtId="0" fontId="3" fillId="15" borderId="0" xfId="0" applyFont="1" applyFill="1" applyBorder="1"/>
    <xf numFmtId="0" fontId="24" fillId="24" borderId="22" xfId="0" applyFont="1" applyFill="1" applyBorder="1" applyAlignment="1" applyProtection="1">
      <alignment horizontal="left"/>
    </xf>
    <xf numFmtId="0" fontId="24" fillId="24" borderId="0" xfId="0" applyFont="1" applyFill="1" applyBorder="1" applyAlignment="1" applyProtection="1">
      <alignment horizontal="left"/>
    </xf>
    <xf numFmtId="0" fontId="23" fillId="24" borderId="22" xfId="0" applyFont="1" applyFill="1" applyBorder="1" applyAlignment="1" applyProtection="1">
      <alignment horizontal="left" vertical="center"/>
    </xf>
    <xf numFmtId="0" fontId="23" fillId="24" borderId="0" xfId="0" applyFont="1" applyFill="1" applyBorder="1" applyAlignment="1" applyProtection="1">
      <alignment horizontal="left" vertical="center"/>
    </xf>
    <xf numFmtId="0" fontId="52" fillId="24" borderId="0" xfId="0" applyFont="1" applyFill="1" applyBorder="1" applyAlignment="1" applyProtection="1">
      <alignment horizontal="left" vertical="center"/>
    </xf>
    <xf numFmtId="0" fontId="20" fillId="24" borderId="0" xfId="0" applyFont="1" applyFill="1" applyBorder="1" applyAlignment="1" applyProtection="1">
      <alignment vertical="center"/>
    </xf>
    <xf numFmtId="0" fontId="23" fillId="24" borderId="0" xfId="0" quotePrefix="1" applyFont="1" applyFill="1" applyBorder="1" applyAlignment="1" applyProtection="1">
      <alignment vertical="center"/>
    </xf>
    <xf numFmtId="0" fontId="26" fillId="24" borderId="0" xfId="0" applyFont="1" applyFill="1" applyBorder="1" applyAlignment="1" applyProtection="1">
      <alignment vertical="center"/>
    </xf>
    <xf numFmtId="0" fontId="26" fillId="24" borderId="0" xfId="0" applyFont="1" applyFill="1" applyBorder="1" applyProtection="1"/>
    <xf numFmtId="0" fontId="17" fillId="24" borderId="0" xfId="0" applyFont="1" applyFill="1" applyBorder="1" applyProtection="1"/>
    <xf numFmtId="0" fontId="28" fillId="24" borderId="24" xfId="0" applyFont="1" applyFill="1" applyBorder="1" applyProtection="1"/>
    <xf numFmtId="0" fontId="28" fillId="24" borderId="25" xfId="0" applyFont="1" applyFill="1" applyBorder="1" applyProtection="1"/>
    <xf numFmtId="0" fontId="20" fillId="24" borderId="25" xfId="0" applyFont="1" applyFill="1" applyBorder="1" applyProtection="1"/>
    <xf numFmtId="0" fontId="25" fillId="24" borderId="25" xfId="0" applyFont="1" applyFill="1" applyBorder="1" applyProtection="1"/>
    <xf numFmtId="0" fontId="67" fillId="24" borderId="0" xfId="3" applyFont="1" applyFill="1" applyAlignment="1" applyProtection="1"/>
    <xf numFmtId="0" fontId="67" fillId="24" borderId="0" xfId="3" applyFont="1" applyFill="1" applyBorder="1" applyAlignment="1" applyProtection="1">
      <alignment horizontal="left" vertical="center"/>
    </xf>
    <xf numFmtId="182" fontId="17" fillId="24" borderId="0" xfId="0" applyNumberFormat="1" applyFont="1" applyFill="1" applyBorder="1" applyAlignment="1" applyProtection="1">
      <alignment horizontal="center"/>
    </xf>
    <xf numFmtId="0" fontId="20" fillId="24" borderId="37" xfId="0" applyFont="1" applyFill="1" applyBorder="1" applyProtection="1"/>
    <xf numFmtId="0" fontId="20" fillId="24" borderId="35" xfId="0" applyFont="1" applyFill="1" applyBorder="1" applyProtection="1"/>
    <xf numFmtId="0" fontId="17" fillId="24" borderId="35" xfId="0" applyFont="1" applyFill="1" applyBorder="1" applyProtection="1"/>
    <xf numFmtId="0" fontId="4" fillId="5" borderId="48" xfId="4" applyFont="1" applyFill="1" applyBorder="1" applyAlignment="1"/>
    <xf numFmtId="179" fontId="0" fillId="10" borderId="2" xfId="0" applyNumberFormat="1" applyFill="1" applyBorder="1"/>
    <xf numFmtId="179" fontId="0" fillId="18" borderId="0" xfId="0" applyNumberFormat="1" applyFill="1" applyBorder="1"/>
    <xf numFmtId="179" fontId="27" fillId="10" borderId="0" xfId="0" applyNumberFormat="1" applyFont="1" applyFill="1" applyBorder="1"/>
    <xf numFmtId="0" fontId="3" fillId="8" borderId="62" xfId="0" applyFont="1" applyFill="1" applyBorder="1" applyProtection="1"/>
    <xf numFmtId="0" fontId="3" fillId="8" borderId="63" xfId="0" applyFont="1" applyFill="1" applyBorder="1" applyProtection="1"/>
    <xf numFmtId="0" fontId="3" fillId="8" borderId="63" xfId="0" applyFont="1" applyFill="1" applyBorder="1" applyAlignment="1" applyProtection="1">
      <alignment horizontal="right"/>
    </xf>
    <xf numFmtId="0" fontId="17" fillId="12" borderId="22" xfId="0" applyFont="1" applyFill="1" applyBorder="1" applyProtection="1"/>
    <xf numFmtId="179" fontId="27" fillId="0" borderId="0" xfId="0" applyNumberFormat="1" applyFont="1" applyFill="1" applyBorder="1"/>
    <xf numFmtId="0" fontId="50" fillId="12" borderId="61" xfId="0" applyNumberFormat="1" applyFont="1" applyFill="1" applyBorder="1" applyAlignment="1" applyProtection="1">
      <alignment vertical="center"/>
    </xf>
    <xf numFmtId="0" fontId="4" fillId="12" borderId="23" xfId="0" applyNumberFormat="1" applyFont="1" applyFill="1" applyBorder="1" applyAlignment="1" applyProtection="1">
      <alignment vertical="center"/>
    </xf>
    <xf numFmtId="1" fontId="3" fillId="0" borderId="64" xfId="0" applyNumberFormat="1" applyFont="1" applyFill="1" applyBorder="1" applyAlignment="1" applyProtection="1">
      <alignment vertical="center"/>
    </xf>
    <xf numFmtId="0" fontId="4" fillId="12" borderId="23" xfId="0" applyFont="1" applyFill="1" applyBorder="1" applyProtection="1"/>
    <xf numFmtId="0" fontId="4" fillId="12" borderId="23" xfId="0" applyFont="1" applyFill="1" applyBorder="1" applyAlignment="1" applyProtection="1">
      <alignment vertical="center"/>
    </xf>
    <xf numFmtId="0" fontId="3" fillId="12" borderId="26" xfId="0" applyFont="1" applyFill="1" applyBorder="1" applyProtection="1"/>
    <xf numFmtId="0" fontId="4" fillId="8" borderId="39" xfId="0" applyFont="1" applyFill="1" applyBorder="1" applyAlignment="1" applyProtection="1">
      <alignment horizontal="right" vertical="center"/>
    </xf>
    <xf numFmtId="0" fontId="4" fillId="15" borderId="39" xfId="0" applyNumberFormat="1" applyFont="1" applyFill="1" applyBorder="1" applyAlignment="1" applyProtection="1">
      <alignment horizontal="right" vertical="center"/>
      <protection locked="0"/>
    </xf>
    <xf numFmtId="0" fontId="4" fillId="8" borderId="26" xfId="0" applyFont="1" applyFill="1" applyBorder="1" applyAlignment="1" applyProtection="1">
      <alignment vertical="center"/>
    </xf>
    <xf numFmtId="1" fontId="3" fillId="8" borderId="0" xfId="0" applyNumberFormat="1" applyFont="1" applyFill="1" applyBorder="1" applyAlignment="1" applyProtection="1"/>
    <xf numFmtId="0" fontId="0" fillId="0" borderId="63" xfId="0" applyBorder="1"/>
    <xf numFmtId="0" fontId="4" fillId="0" borderId="0" xfId="4" applyFont="1" applyBorder="1" applyAlignment="1">
      <alignment horizontal="left"/>
    </xf>
    <xf numFmtId="0" fontId="48" fillId="0" borderId="0" xfId="4" applyFont="1" applyBorder="1" applyAlignment="1">
      <alignment horizontal="center"/>
    </xf>
    <xf numFmtId="0" fontId="48" fillId="0" borderId="0" xfId="0" applyFont="1" applyAlignment="1">
      <alignment horizontal="center"/>
    </xf>
    <xf numFmtId="0" fontId="70" fillId="0" borderId="0" xfId="4" applyFont="1" applyBorder="1" applyAlignment="1">
      <alignment horizontal="right"/>
    </xf>
    <xf numFmtId="0" fontId="70" fillId="0" borderId="22" xfId="4" applyFont="1" applyBorder="1" applyAlignment="1">
      <alignment horizontal="right"/>
    </xf>
    <xf numFmtId="0" fontId="70" fillId="0" borderId="0" xfId="0" applyFont="1" applyAlignment="1">
      <alignment horizontal="right"/>
    </xf>
    <xf numFmtId="0" fontId="70" fillId="0" borderId="0" xfId="0" applyFont="1" applyBorder="1" applyAlignment="1">
      <alignment horizontal="right"/>
    </xf>
    <xf numFmtId="0" fontId="66" fillId="0" borderId="0" xfId="0" applyFont="1"/>
    <xf numFmtId="178" fontId="7" fillId="4" borderId="63" xfId="4" applyNumberFormat="1" applyFont="1" applyFill="1" applyBorder="1" applyAlignment="1"/>
    <xf numFmtId="180" fontId="3" fillId="0" borderId="0" xfId="4" applyNumberFormat="1"/>
    <xf numFmtId="0" fontId="4" fillId="2" borderId="20" xfId="4" applyFont="1" applyFill="1" applyBorder="1" applyAlignment="1">
      <alignment horizontal="center" vertical="center" wrapText="1"/>
    </xf>
    <xf numFmtId="0" fontId="48" fillId="0" borderId="0" xfId="0" applyFont="1"/>
    <xf numFmtId="2" fontId="4" fillId="2" borderId="56" xfId="4" applyNumberFormat="1" applyFont="1" applyFill="1" applyBorder="1" applyAlignment="1">
      <alignment horizontal="center" vertical="center" wrapText="1"/>
    </xf>
    <xf numFmtId="2" fontId="4" fillId="2" borderId="57" xfId="4" applyNumberFormat="1" applyFont="1" applyFill="1" applyBorder="1" applyAlignment="1">
      <alignment horizontal="center" vertical="center" wrapText="1"/>
    </xf>
    <xf numFmtId="2" fontId="7" fillId="4" borderId="41" xfId="4" applyNumberFormat="1" applyFont="1" applyFill="1" applyBorder="1" applyAlignment="1"/>
    <xf numFmtId="2" fontId="7" fillId="4" borderId="67" xfId="4" applyNumberFormat="1" applyFont="1" applyFill="1" applyBorder="1" applyAlignment="1"/>
    <xf numFmtId="2" fontId="7" fillId="4" borderId="18" xfId="4" applyNumberFormat="1" applyFont="1" applyFill="1" applyBorder="1" applyAlignment="1"/>
    <xf numFmtId="178" fontId="4" fillId="4" borderId="41" xfId="4" applyNumberFormat="1" applyFont="1" applyFill="1" applyBorder="1" applyAlignment="1"/>
    <xf numFmtId="178" fontId="3" fillId="4" borderId="67" xfId="4" applyNumberFormat="1" applyFill="1" applyBorder="1"/>
    <xf numFmtId="0" fontId="3" fillId="8" borderId="23" xfId="0" applyFont="1" applyFill="1" applyBorder="1" applyAlignment="1" applyProtection="1"/>
    <xf numFmtId="0" fontId="3" fillId="8" borderId="62" xfId="0" applyFont="1" applyFill="1" applyBorder="1" applyAlignment="1" applyProtection="1">
      <alignment vertical="center"/>
    </xf>
    <xf numFmtId="0" fontId="22" fillId="8" borderId="24" xfId="0" applyFont="1" applyFill="1" applyBorder="1" applyAlignment="1" applyProtection="1">
      <alignment vertical="center"/>
    </xf>
    <xf numFmtId="194" fontId="3" fillId="17" borderId="11" xfId="4" applyNumberFormat="1" applyFill="1" applyBorder="1" applyAlignment="1">
      <alignment horizontal="center" vertical="center"/>
    </xf>
    <xf numFmtId="177" fontId="3" fillId="0" borderId="0" xfId="7" applyNumberFormat="1" applyFont="1"/>
    <xf numFmtId="0" fontId="3" fillId="0" borderId="0" xfId="0" quotePrefix="1" applyFont="1"/>
    <xf numFmtId="0" fontId="48" fillId="0" borderId="0" xfId="0" applyFont="1" applyAlignment="1">
      <alignment horizontal="left"/>
    </xf>
    <xf numFmtId="0" fontId="4" fillId="8" borderId="11" xfId="4" applyFont="1" applyFill="1" applyBorder="1" applyAlignment="1">
      <alignment horizontal="center" vertical="center"/>
    </xf>
    <xf numFmtId="180" fontId="0" fillId="0" borderId="0" xfId="0" applyNumberFormat="1"/>
    <xf numFmtId="0" fontId="3" fillId="8" borderId="0" xfId="4" applyFill="1" applyAlignment="1">
      <alignment horizontal="left"/>
    </xf>
    <xf numFmtId="49" fontId="3" fillId="8" borderId="0" xfId="4" applyNumberFormat="1" applyFill="1" applyAlignment="1">
      <alignment horizontal="left"/>
    </xf>
    <xf numFmtId="0" fontId="3" fillId="8" borderId="0" xfId="4" applyFill="1" applyAlignment="1">
      <alignment horizontal="left" vertical="center"/>
    </xf>
    <xf numFmtId="0" fontId="4" fillId="8" borderId="11" xfId="4" applyFont="1" applyFill="1" applyBorder="1" applyAlignment="1">
      <alignment vertical="center"/>
    </xf>
    <xf numFmtId="0" fontId="4" fillId="8" borderId="11" xfId="4" applyFont="1" applyFill="1" applyBorder="1" applyAlignment="1">
      <alignment vertical="center" wrapText="1"/>
    </xf>
    <xf numFmtId="0" fontId="4" fillId="8" borderId="8" xfId="4" applyFont="1" applyFill="1" applyBorder="1" applyAlignment="1">
      <alignment vertical="center"/>
    </xf>
    <xf numFmtId="0" fontId="4" fillId="8" borderId="9" xfId="4" applyFont="1" applyFill="1" applyBorder="1" applyAlignment="1">
      <alignment vertical="center"/>
    </xf>
    <xf numFmtId="0" fontId="4" fillId="8" borderId="15" xfId="4" applyFont="1" applyFill="1" applyBorder="1" applyAlignment="1">
      <alignment vertical="center"/>
    </xf>
    <xf numFmtId="0" fontId="3" fillId="12" borderId="0" xfId="4" applyFill="1" applyAlignment="1">
      <alignment horizontal="left"/>
    </xf>
    <xf numFmtId="49" fontId="3" fillId="12" borderId="0" xfId="4" applyNumberFormat="1" applyFill="1" applyAlignment="1">
      <alignment horizontal="left"/>
    </xf>
    <xf numFmtId="180" fontId="3" fillId="8" borderId="0" xfId="4" applyNumberFormat="1" applyFill="1" applyAlignment="1">
      <alignment horizontal="left"/>
    </xf>
    <xf numFmtId="0" fontId="4" fillId="8" borderId="0" xfId="4" applyFont="1" applyFill="1" applyAlignment="1">
      <alignment vertical="center"/>
    </xf>
    <xf numFmtId="180" fontId="3" fillId="8" borderId="0" xfId="4" applyNumberFormat="1" applyFill="1" applyAlignment="1">
      <alignment horizontal="right" vertical="center"/>
    </xf>
    <xf numFmtId="0" fontId="3" fillId="0" borderId="0" xfId="0" applyFont="1" applyAlignment="1">
      <alignment horizontal="left"/>
    </xf>
    <xf numFmtId="0" fontId="3" fillId="16" borderId="8" xfId="4" applyFill="1" applyBorder="1" applyAlignment="1">
      <alignment horizontal="left" vertical="center"/>
    </xf>
    <xf numFmtId="0" fontId="3" fillId="17" borderId="8" xfId="4" applyFill="1" applyBorder="1" applyAlignment="1">
      <alignment horizontal="left" vertical="center"/>
    </xf>
    <xf numFmtId="0" fontId="3" fillId="12" borderId="8" xfId="4" applyFill="1" applyBorder="1" applyAlignment="1">
      <alignment horizontal="left" vertical="center"/>
    </xf>
    <xf numFmtId="0" fontId="75" fillId="8" borderId="0" xfId="4" applyFont="1" applyFill="1"/>
    <xf numFmtId="180" fontId="75" fillId="8" borderId="0" xfId="4" applyNumberFormat="1" applyFont="1" applyFill="1" applyAlignment="1">
      <alignment horizontal="right"/>
    </xf>
    <xf numFmtId="0" fontId="75" fillId="8" borderId="0" xfId="4" applyFont="1" applyFill="1" applyAlignment="1">
      <alignment horizontal="left" vertical="center"/>
    </xf>
    <xf numFmtId="178" fontId="75" fillId="8" borderId="0" xfId="4" applyNumberFormat="1" applyFont="1" applyFill="1"/>
    <xf numFmtId="180" fontId="3" fillId="17" borderId="11" xfId="4" applyNumberFormat="1" applyFill="1" applyBorder="1" applyAlignment="1">
      <alignment horizontal="center" vertical="center"/>
    </xf>
    <xf numFmtId="180" fontId="3" fillId="8" borderId="11" xfId="4" applyNumberFormat="1" applyFill="1" applyBorder="1" applyAlignment="1">
      <alignment horizontal="center" vertical="center"/>
    </xf>
    <xf numFmtId="0" fontId="3" fillId="17" borderId="70" xfId="4" applyFill="1" applyBorder="1" applyAlignment="1">
      <alignment horizontal="center" vertical="center"/>
    </xf>
    <xf numFmtId="0" fontId="3" fillId="8" borderId="70" xfId="4" applyFill="1" applyBorder="1" applyAlignment="1">
      <alignment horizontal="center" vertical="center"/>
    </xf>
    <xf numFmtId="0" fontId="48" fillId="8" borderId="11" xfId="4" applyFont="1" applyFill="1" applyBorder="1" applyAlignment="1">
      <alignment horizontal="center" vertical="center"/>
    </xf>
    <xf numFmtId="0" fontId="59" fillId="8" borderId="0" xfId="4" applyFont="1" applyFill="1" applyAlignment="1">
      <alignment horizontal="left" vertical="center"/>
    </xf>
    <xf numFmtId="0" fontId="54" fillId="3" borderId="69" xfId="4" applyFont="1" applyFill="1" applyBorder="1" applyAlignment="1">
      <alignment horizontal="center" vertical="center"/>
    </xf>
    <xf numFmtId="49" fontId="73" fillId="14" borderId="68" xfId="4" applyNumberFormat="1" applyFont="1" applyFill="1" applyBorder="1" applyAlignment="1">
      <alignment horizontal="center" vertical="center"/>
    </xf>
    <xf numFmtId="0" fontId="73" fillId="14" borderId="47" xfId="4" applyFont="1" applyFill="1" applyBorder="1" applyAlignment="1">
      <alignment horizontal="center" vertical="center"/>
    </xf>
    <xf numFmtId="180" fontId="76" fillId="0" borderId="0" xfId="4" applyNumberFormat="1" applyFont="1" applyFill="1" applyAlignment="1">
      <alignment horizontal="right" vertical="center"/>
    </xf>
    <xf numFmtId="178" fontId="76" fillId="8" borderId="0" xfId="4" applyNumberFormat="1" applyFont="1" applyFill="1" applyAlignment="1">
      <alignment vertical="center"/>
    </xf>
    <xf numFmtId="49" fontId="59" fillId="8" borderId="0" xfId="4" applyNumberFormat="1" applyFont="1" applyFill="1" applyAlignment="1" applyProtection="1">
      <alignment horizontal="left" vertical="center"/>
      <protection locked="0" hidden="1"/>
    </xf>
    <xf numFmtId="0" fontId="59" fillId="8" borderId="0" xfId="4" applyFont="1" applyFill="1" applyAlignment="1" applyProtection="1">
      <alignment horizontal="left" vertical="center"/>
      <protection locked="0" hidden="1"/>
    </xf>
    <xf numFmtId="0" fontId="3" fillId="8" borderId="0" xfId="4" applyFont="1" applyFill="1" applyAlignment="1" applyProtection="1">
      <alignment vertical="center"/>
      <protection locked="0" hidden="1"/>
    </xf>
    <xf numFmtId="0" fontId="55" fillId="12" borderId="0" xfId="0" applyFont="1" applyFill="1" applyAlignment="1"/>
    <xf numFmtId="0" fontId="59" fillId="8" borderId="0" xfId="4" applyFont="1" applyFill="1"/>
    <xf numFmtId="0" fontId="76" fillId="8" borderId="0" xfId="4" applyFont="1" applyFill="1" applyAlignment="1">
      <alignment horizontal="left"/>
    </xf>
    <xf numFmtId="0" fontId="48" fillId="0" borderId="22" xfId="0" applyFont="1" applyBorder="1"/>
    <xf numFmtId="0" fontId="17" fillId="24" borderId="0" xfId="0" applyFont="1" applyFill="1" applyProtection="1"/>
    <xf numFmtId="0" fontId="17" fillId="12" borderId="35" xfId="0" applyFont="1" applyFill="1" applyBorder="1" applyProtection="1"/>
    <xf numFmtId="182" fontId="17" fillId="12" borderId="39" xfId="0" applyNumberFormat="1" applyFont="1" applyFill="1" applyBorder="1" applyAlignment="1" applyProtection="1">
      <alignment horizontal="center"/>
    </xf>
    <xf numFmtId="0" fontId="17" fillId="12" borderId="39" xfId="0" applyFont="1" applyFill="1" applyBorder="1" applyProtection="1"/>
    <xf numFmtId="0" fontId="17" fillId="8" borderId="39" xfId="0" applyFont="1" applyFill="1" applyBorder="1" applyProtection="1"/>
    <xf numFmtId="0" fontId="17" fillId="12" borderId="36" xfId="0" applyFont="1" applyFill="1" applyBorder="1" applyProtection="1"/>
    <xf numFmtId="0" fontId="17" fillId="12" borderId="23" xfId="0" applyFont="1" applyFill="1" applyBorder="1" applyProtection="1"/>
    <xf numFmtId="0" fontId="3" fillId="8" borderId="39" xfId="0" applyFont="1" applyFill="1" applyBorder="1" applyAlignment="1" applyProtection="1">
      <alignment horizontal="right" vertical="center"/>
    </xf>
    <xf numFmtId="0" fontId="3" fillId="8" borderId="39" xfId="0" applyNumberFormat="1" applyFont="1" applyFill="1" applyBorder="1" applyAlignment="1" applyProtection="1">
      <alignment horizontal="right" vertical="center"/>
    </xf>
    <xf numFmtId="0" fontId="3" fillId="8" borderId="35" xfId="0" applyFont="1" applyFill="1" applyBorder="1" applyAlignment="1" applyProtection="1">
      <alignment vertical="center"/>
    </xf>
    <xf numFmtId="0" fontId="3" fillId="8" borderId="35" xfId="0" applyFont="1" applyFill="1" applyBorder="1" applyAlignment="1" applyProtection="1">
      <alignment horizontal="right"/>
    </xf>
    <xf numFmtId="0" fontId="3" fillId="8" borderId="35" xfId="0" applyNumberFormat="1" applyFont="1" applyFill="1" applyBorder="1" applyAlignment="1" applyProtection="1">
      <alignment horizontal="right"/>
    </xf>
    <xf numFmtId="0" fontId="3" fillId="8" borderId="35" xfId="0" applyFont="1" applyFill="1" applyBorder="1" applyAlignment="1" applyProtection="1"/>
    <xf numFmtId="0" fontId="50" fillId="8" borderId="39" xfId="0" applyFont="1" applyFill="1" applyBorder="1" applyAlignment="1" applyProtection="1">
      <alignment horizontal="right" vertical="center"/>
    </xf>
    <xf numFmtId="0" fontId="4" fillId="15" borderId="39" xfId="0" applyNumberFormat="1" applyFont="1" applyFill="1" applyBorder="1" applyAlignment="1" applyProtection="1">
      <alignment vertical="center"/>
      <protection locked="0"/>
    </xf>
    <xf numFmtId="0" fontId="4" fillId="12" borderId="26" xfId="0" applyNumberFormat="1" applyFont="1" applyFill="1" applyBorder="1" applyAlignment="1" applyProtection="1">
      <alignment vertical="center"/>
    </xf>
    <xf numFmtId="0" fontId="3" fillId="8" borderId="35" xfId="0" applyFont="1" applyFill="1" applyBorder="1" applyAlignment="1" applyProtection="1">
      <alignment horizontal="left"/>
    </xf>
    <xf numFmtId="1" fontId="49" fillId="8" borderId="25" xfId="0" applyNumberFormat="1" applyFont="1" applyFill="1" applyBorder="1" applyAlignment="1" applyProtection="1">
      <alignment horizontal="right"/>
    </xf>
    <xf numFmtId="0" fontId="3" fillId="8" borderId="36" xfId="0" applyFont="1" applyFill="1" applyBorder="1" applyAlignment="1" applyProtection="1">
      <alignment vertical="center"/>
    </xf>
    <xf numFmtId="0" fontId="60" fillId="13" borderId="35" xfId="0" applyFont="1" applyFill="1" applyBorder="1" applyAlignment="1" applyProtection="1">
      <alignment vertical="center"/>
    </xf>
    <xf numFmtId="0" fontId="17" fillId="13" borderId="35" xfId="0" applyFont="1" applyFill="1" applyBorder="1" applyProtection="1"/>
    <xf numFmtId="0" fontId="78" fillId="13" borderId="62" xfId="0" applyFont="1" applyFill="1" applyBorder="1" applyAlignment="1" applyProtection="1">
      <alignment vertical="center"/>
    </xf>
    <xf numFmtId="0" fontId="23" fillId="24" borderId="0" xfId="0" applyFont="1" applyFill="1" applyBorder="1" applyAlignment="1" applyProtection="1">
      <alignment horizontal="right" vertical="center"/>
    </xf>
    <xf numFmtId="20" fontId="0" fillId="0" borderId="0" xfId="0" applyNumberFormat="1"/>
    <xf numFmtId="179" fontId="0" fillId="0" borderId="0" xfId="0" applyNumberFormat="1" applyFill="1" applyBorder="1"/>
    <xf numFmtId="196" fontId="0" fillId="0" borderId="0" xfId="0" applyNumberFormat="1" applyBorder="1" applyAlignment="1">
      <alignment horizontal="right"/>
    </xf>
    <xf numFmtId="196" fontId="0" fillId="19" borderId="0" xfId="0" applyNumberFormat="1" applyFill="1" applyBorder="1" applyAlignment="1">
      <alignment horizontal="right"/>
    </xf>
    <xf numFmtId="0" fontId="0" fillId="0" borderId="22" xfId="0" applyBorder="1" applyAlignment="1">
      <alignment horizontal="left"/>
    </xf>
    <xf numFmtId="1" fontId="3" fillId="8" borderId="39" xfId="0" applyNumberFormat="1" applyFont="1" applyFill="1" applyBorder="1" applyAlignment="1" applyProtection="1">
      <alignment horizontal="right" vertical="center"/>
    </xf>
    <xf numFmtId="0" fontId="3" fillId="8" borderId="40" xfId="0" applyFont="1" applyFill="1" applyBorder="1" applyAlignment="1" applyProtection="1">
      <alignment vertical="center"/>
    </xf>
    <xf numFmtId="178" fontId="3" fillId="4" borderId="35" xfId="4" applyNumberFormat="1" applyFill="1" applyBorder="1"/>
    <xf numFmtId="178" fontId="3" fillId="27" borderId="0" xfId="4" applyNumberFormat="1" applyFill="1" applyAlignment="1">
      <alignment horizontal="center" vertical="center" wrapText="1"/>
    </xf>
    <xf numFmtId="9" fontId="3" fillId="0" borderId="47" xfId="4" applyNumberFormat="1" applyFont="1" applyFill="1" applyBorder="1" applyProtection="1">
      <protection locked="0"/>
    </xf>
    <xf numFmtId="178" fontId="4" fillId="26" borderId="0" xfId="4" applyNumberFormat="1" applyFont="1" applyFill="1" applyAlignment="1">
      <alignment horizontal="center" vertical="center" wrapText="1"/>
    </xf>
    <xf numFmtId="178" fontId="0" fillId="0" borderId="0" xfId="0" applyNumberFormat="1"/>
    <xf numFmtId="2" fontId="3" fillId="0" borderId="0" xfId="7" applyNumberFormat="1" applyFont="1"/>
    <xf numFmtId="2" fontId="4" fillId="0" borderId="0" xfId="0" applyNumberFormat="1" applyFont="1"/>
    <xf numFmtId="180" fontId="4" fillId="0" borderId="0" xfId="4" applyNumberFormat="1" applyFont="1"/>
    <xf numFmtId="179" fontId="4" fillId="0" borderId="0" xfId="4" applyNumberFormat="1" applyFont="1"/>
    <xf numFmtId="0" fontId="4" fillId="4" borderId="0" xfId="4" applyFont="1" applyFill="1" applyBorder="1" applyAlignment="1">
      <alignment horizontal="left"/>
    </xf>
    <xf numFmtId="2" fontId="3" fillId="0" borderId="0" xfId="0" applyNumberFormat="1" applyFont="1"/>
    <xf numFmtId="180" fontId="3" fillId="0" borderId="0" xfId="4" applyNumberFormat="1" applyFont="1"/>
    <xf numFmtId="2" fontId="3" fillId="0" borderId="0" xfId="4" applyNumberFormat="1" applyFont="1"/>
    <xf numFmtId="1" fontId="3" fillId="0" borderId="0" xfId="4" applyNumberFormat="1" applyFont="1"/>
    <xf numFmtId="179" fontId="3" fillId="0" borderId="0" xfId="0" applyNumberFormat="1" applyFont="1"/>
    <xf numFmtId="179" fontId="4" fillId="0" borderId="0" xfId="0" applyNumberFormat="1" applyFont="1"/>
    <xf numFmtId="0" fontId="4" fillId="4" borderId="35" xfId="4" applyFont="1" applyFill="1" applyBorder="1" applyAlignment="1"/>
    <xf numFmtId="180" fontId="3" fillId="0" borderId="0" xfId="7" applyNumberFormat="1" applyFont="1"/>
    <xf numFmtId="1" fontId="4" fillId="17" borderId="6" xfId="4" applyNumberFormat="1" applyFont="1" applyFill="1" applyBorder="1" applyAlignment="1">
      <alignment horizontal="center" vertical="center" wrapText="1"/>
    </xf>
    <xf numFmtId="1" fontId="4" fillId="25" borderId="55" xfId="4" applyNumberFormat="1" applyFont="1" applyFill="1" applyBorder="1" applyAlignment="1">
      <alignment horizontal="center" vertical="center" wrapText="1"/>
    </xf>
    <xf numFmtId="1" fontId="4" fillId="0" borderId="55" xfId="4" applyNumberFormat="1" applyFont="1" applyFill="1" applyBorder="1" applyAlignment="1">
      <alignment horizontal="center" vertical="center" wrapText="1"/>
    </xf>
    <xf numFmtId="1" fontId="0" fillId="0" borderId="0" xfId="0" applyNumberFormat="1"/>
    <xf numFmtId="1" fontId="4" fillId="0" borderId="0" xfId="0" applyNumberFormat="1" applyFont="1"/>
    <xf numFmtId="1" fontId="4" fillId="17" borderId="55" xfId="4" applyNumberFormat="1" applyFont="1" applyFill="1" applyBorder="1" applyAlignment="1">
      <alignment horizontal="center" vertical="center" wrapText="1"/>
    </xf>
    <xf numFmtId="1" fontId="4" fillId="28" borderId="55" xfId="4" applyNumberFormat="1" applyFont="1" applyFill="1" applyBorder="1" applyAlignment="1">
      <alignment horizontal="center" vertical="center" wrapText="1"/>
    </xf>
    <xf numFmtId="1" fontId="4" fillId="12" borderId="55" xfId="4" applyNumberFormat="1" applyFont="1" applyFill="1" applyBorder="1" applyAlignment="1">
      <alignment horizontal="center" vertical="center" wrapText="1"/>
    </xf>
    <xf numFmtId="1" fontId="3" fillId="20" borderId="0" xfId="0" applyNumberFormat="1" applyFont="1" applyFill="1" applyBorder="1"/>
    <xf numFmtId="180" fontId="15" fillId="18" borderId="0" xfId="0" applyNumberFormat="1" applyFont="1" applyFill="1" applyBorder="1" applyAlignment="1">
      <alignment horizontal="right"/>
    </xf>
    <xf numFmtId="189" fontId="27" fillId="0" borderId="0" xfId="0" applyNumberFormat="1" applyFont="1" applyFill="1" applyBorder="1"/>
    <xf numFmtId="0" fontId="3" fillId="0" borderId="33" xfId="0" applyFont="1" applyBorder="1"/>
    <xf numFmtId="180" fontId="27" fillId="4" borderId="0" xfId="0" applyNumberFormat="1" applyFont="1" applyFill="1" applyBorder="1"/>
    <xf numFmtId="178" fontId="27" fillId="0" borderId="0" xfId="0" applyNumberFormat="1" applyFont="1" applyFill="1" applyBorder="1"/>
    <xf numFmtId="179" fontId="3" fillId="5" borderId="0" xfId="0" applyNumberFormat="1" applyFont="1" applyFill="1" applyBorder="1"/>
    <xf numFmtId="2" fontId="0" fillId="0" borderId="0" xfId="0" applyNumberFormat="1" applyFill="1" applyBorder="1" applyAlignment="1">
      <alignment horizontal="right"/>
    </xf>
    <xf numFmtId="1" fontId="4" fillId="2" borderId="73" xfId="4" applyNumberFormat="1" applyFont="1" applyFill="1" applyBorder="1" applyAlignment="1">
      <alignment horizontal="center" vertical="center" wrapText="1"/>
    </xf>
    <xf numFmtId="0" fontId="4" fillId="4" borderId="22" xfId="4" applyFont="1" applyFill="1" applyBorder="1" applyAlignment="1">
      <alignment horizontal="left"/>
    </xf>
    <xf numFmtId="0" fontId="4" fillId="4" borderId="74" xfId="4" applyFont="1" applyFill="1" applyBorder="1" applyAlignment="1">
      <alignment horizontal="left"/>
    </xf>
    <xf numFmtId="0" fontId="3" fillId="12" borderId="39" xfId="0" applyFont="1" applyFill="1" applyBorder="1" applyProtection="1"/>
    <xf numFmtId="0" fontId="17" fillId="12" borderId="40" xfId="0" applyFont="1" applyFill="1" applyBorder="1" applyProtection="1"/>
    <xf numFmtId="0" fontId="3" fillId="0" borderId="0" xfId="0" applyNumberFormat="1" applyFont="1"/>
    <xf numFmtId="0" fontId="79" fillId="0" borderId="0" xfId="0" applyFont="1" applyAlignment="1">
      <alignment horizontal="right"/>
    </xf>
    <xf numFmtId="1" fontId="3" fillId="0" borderId="0" xfId="0" applyNumberFormat="1" applyFont="1"/>
    <xf numFmtId="180" fontId="3" fillId="0" borderId="0" xfId="0" applyNumberFormat="1" applyFont="1"/>
    <xf numFmtId="1" fontId="50" fillId="15" borderId="0" xfId="0" applyNumberFormat="1" applyFont="1" applyFill="1" applyBorder="1" applyAlignment="1" applyProtection="1">
      <alignment horizontal="right" vertical="center"/>
      <protection locked="0"/>
    </xf>
    <xf numFmtId="0" fontId="17" fillId="12" borderId="62" xfId="0" applyFont="1" applyFill="1" applyBorder="1" applyProtection="1"/>
    <xf numFmtId="0" fontId="4" fillId="12" borderId="35" xfId="0" applyFont="1" applyFill="1" applyBorder="1" applyAlignment="1" applyProtection="1">
      <alignment horizontal="right"/>
    </xf>
    <xf numFmtId="0" fontId="4" fillId="12" borderId="64" xfId="0" applyFont="1" applyFill="1" applyBorder="1" applyProtection="1"/>
    <xf numFmtId="0" fontId="80" fillId="0" borderId="0" xfId="0" applyFont="1" applyAlignment="1">
      <alignment vertical="center" wrapText="1"/>
    </xf>
    <xf numFmtId="0" fontId="3" fillId="0" borderId="0" xfId="0" applyNumberFormat="1" applyFont="1" applyFill="1" applyBorder="1" applyAlignment="1" applyProtection="1">
      <alignment horizontal="right" vertical="center"/>
    </xf>
    <xf numFmtId="0" fontId="4" fillId="15" borderId="35" xfId="0" applyFont="1" applyFill="1" applyBorder="1" applyProtection="1">
      <protection locked="0"/>
    </xf>
    <xf numFmtId="0" fontId="0" fillId="18" borderId="0" xfId="0" applyNumberFormat="1" applyFill="1" applyBorder="1"/>
    <xf numFmtId="0" fontId="0" fillId="4" borderId="0" xfId="0" applyNumberFormat="1" applyFill="1" applyBorder="1"/>
    <xf numFmtId="0" fontId="0" fillId="23" borderId="0" xfId="0" applyNumberFormat="1" applyFill="1" applyBorder="1"/>
    <xf numFmtId="0" fontId="4" fillId="8" borderId="35" xfId="0" applyFont="1" applyFill="1" applyBorder="1" applyProtection="1"/>
    <xf numFmtId="0" fontId="3" fillId="8" borderId="35" xfId="0" applyFont="1" applyFill="1" applyBorder="1" applyProtection="1"/>
    <xf numFmtId="0" fontId="4" fillId="0" borderId="0" xfId="0" applyFont="1" applyAlignment="1">
      <alignment horizontal="left"/>
    </xf>
    <xf numFmtId="49" fontId="3" fillId="0" borderId="0" xfId="0" applyNumberFormat="1" applyFont="1" applyBorder="1" applyAlignment="1">
      <alignment horizontal="left"/>
    </xf>
    <xf numFmtId="180" fontId="49" fillId="12" borderId="35" xfId="0" applyNumberFormat="1" applyFont="1" applyFill="1" applyBorder="1" applyAlignment="1" applyProtection="1">
      <alignment vertical="center"/>
    </xf>
    <xf numFmtId="178" fontId="3" fillId="0" borderId="0" xfId="0" applyNumberFormat="1" applyFont="1"/>
    <xf numFmtId="1" fontId="4" fillId="12" borderId="0" xfId="0" applyNumberFormat="1" applyFont="1" applyFill="1" applyBorder="1" applyAlignment="1" applyProtection="1">
      <alignment vertical="center"/>
    </xf>
    <xf numFmtId="1" fontId="66" fillId="0" borderId="0" xfId="0" applyNumberFormat="1" applyFont="1" applyFill="1" applyBorder="1" applyAlignment="1" applyProtection="1">
      <alignment horizontal="right" vertical="center"/>
    </xf>
    <xf numFmtId="180" fontId="4" fillId="15" borderId="0" xfId="0" applyNumberFormat="1" applyFont="1" applyFill="1" applyBorder="1" applyAlignment="1" applyProtection="1">
      <alignment horizontal="right" vertical="center"/>
      <protection locked="0"/>
    </xf>
    <xf numFmtId="0" fontId="22" fillId="8" borderId="67" xfId="0" applyFont="1" applyFill="1" applyBorder="1" applyAlignment="1" applyProtection="1">
      <alignment vertical="center"/>
    </xf>
    <xf numFmtId="0" fontId="17" fillId="8" borderId="35" xfId="0" applyFont="1" applyFill="1" applyBorder="1" applyProtection="1"/>
    <xf numFmtId="0" fontId="45" fillId="8" borderId="75" xfId="0" applyFont="1" applyFill="1" applyBorder="1" applyProtection="1"/>
    <xf numFmtId="0" fontId="45" fillId="8" borderId="76" xfId="0" applyFont="1" applyFill="1" applyBorder="1" applyProtection="1"/>
    <xf numFmtId="0" fontId="45" fillId="8" borderId="77" xfId="0" applyFont="1" applyFill="1" applyBorder="1" applyProtection="1"/>
    <xf numFmtId="2" fontId="3" fillId="18" borderId="0" xfId="0" applyNumberFormat="1" applyFont="1" applyFill="1" applyBorder="1"/>
    <xf numFmtId="0" fontId="0" fillId="18" borderId="0" xfId="0" applyNumberFormat="1" applyFill="1"/>
    <xf numFmtId="2" fontId="4" fillId="0" borderId="0" xfId="0" applyNumberFormat="1" applyFont="1" applyBorder="1" applyAlignment="1">
      <alignment horizontal="right"/>
    </xf>
    <xf numFmtId="1" fontId="3" fillId="4" borderId="0" xfId="0" applyNumberFormat="1" applyFont="1" applyFill="1" applyBorder="1"/>
    <xf numFmtId="2" fontId="4" fillId="0" borderId="0" xfId="0" applyNumberFormat="1" applyFont="1" applyFill="1" applyBorder="1"/>
    <xf numFmtId="0" fontId="3" fillId="0" borderId="22" xfId="0" applyFont="1" applyFill="1" applyBorder="1"/>
    <xf numFmtId="2" fontId="7" fillId="0" borderId="2" xfId="0" applyNumberFormat="1" applyFont="1" applyFill="1" applyBorder="1"/>
    <xf numFmtId="179" fontId="4" fillId="0" borderId="2" xfId="0" applyNumberFormat="1" applyFont="1" applyFill="1" applyBorder="1"/>
    <xf numFmtId="0" fontId="81" fillId="0" borderId="22" xfId="0" applyFont="1" applyBorder="1"/>
    <xf numFmtId="0" fontId="48" fillId="0" borderId="0" xfId="0" applyFont="1" applyBorder="1"/>
    <xf numFmtId="0" fontId="27" fillId="18" borderId="0" xfId="0" applyNumberFormat="1" applyFont="1" applyFill="1" applyBorder="1" applyAlignment="1">
      <alignment horizontal="right"/>
    </xf>
    <xf numFmtId="192" fontId="3" fillId="16" borderId="8" xfId="4" applyNumberFormat="1" applyFill="1" applyBorder="1" applyAlignment="1">
      <alignment horizontal="left" vertical="center"/>
    </xf>
    <xf numFmtId="192" fontId="3" fillId="16" borderId="9" xfId="4" applyNumberFormat="1" applyFill="1" applyBorder="1" applyAlignment="1">
      <alignment horizontal="left" vertical="center"/>
    </xf>
    <xf numFmtId="0" fontId="3" fillId="8" borderId="0" xfId="0" applyFont="1" applyFill="1" applyBorder="1" applyAlignment="1" applyProtection="1">
      <alignment horizontal="right" vertical="top"/>
    </xf>
    <xf numFmtId="0" fontId="3" fillId="8" borderId="38" xfId="0" applyFont="1" applyFill="1" applyBorder="1" applyAlignment="1" applyProtection="1">
      <alignment horizontal="right"/>
    </xf>
    <xf numFmtId="0" fontId="48" fillId="0" borderId="0" xfId="0" applyFont="1" applyAlignment="1">
      <alignment horizontal="right"/>
    </xf>
    <xf numFmtId="0" fontId="4" fillId="2" borderId="19" xfId="4" applyFont="1" applyFill="1" applyBorder="1" applyAlignment="1">
      <alignment horizontal="center" vertical="center" wrapText="1"/>
    </xf>
    <xf numFmtId="178" fontId="4" fillId="26" borderId="19" xfId="4" applyNumberFormat="1" applyFont="1" applyFill="1" applyBorder="1" applyAlignment="1">
      <alignment horizontal="center" vertical="center" wrapText="1"/>
    </xf>
    <xf numFmtId="178" fontId="4" fillId="26" borderId="20" xfId="4" applyNumberFormat="1" applyFont="1" applyFill="1" applyBorder="1" applyAlignment="1">
      <alignment horizontal="center" vertical="center" wrapText="1"/>
    </xf>
    <xf numFmtId="178" fontId="4" fillId="26" borderId="73" xfId="4" applyNumberFormat="1" applyFont="1" applyFill="1" applyBorder="1" applyAlignment="1">
      <alignment horizontal="center" vertical="center" wrapText="1"/>
    </xf>
    <xf numFmtId="178" fontId="4" fillId="26" borderId="39" xfId="4" applyNumberFormat="1" applyFont="1" applyFill="1" applyBorder="1" applyAlignment="1">
      <alignment horizontal="center" vertical="center" wrapText="1"/>
    </xf>
    <xf numFmtId="1" fontId="4" fillId="15" borderId="55" xfId="4" applyNumberFormat="1" applyFont="1" applyFill="1" applyBorder="1" applyAlignment="1">
      <alignment horizontal="center" vertical="center" wrapText="1"/>
    </xf>
    <xf numFmtId="1" fontId="4" fillId="15" borderId="6" xfId="4" applyNumberFormat="1" applyFont="1" applyFill="1" applyBorder="1" applyAlignment="1">
      <alignment horizontal="center" vertical="center" wrapText="1"/>
    </xf>
    <xf numFmtId="180" fontId="3" fillId="8" borderId="35" xfId="0" applyNumberFormat="1" applyFont="1" applyFill="1" applyBorder="1" applyAlignment="1" applyProtection="1">
      <alignment horizontal="right" vertical="center"/>
    </xf>
    <xf numFmtId="2" fontId="48" fillId="0" borderId="0" xfId="0" applyNumberFormat="1" applyFont="1" applyAlignment="1">
      <alignment horizontal="left"/>
    </xf>
    <xf numFmtId="2" fontId="48" fillId="0" borderId="0" xfId="0" applyNumberFormat="1" applyFont="1" applyAlignment="1">
      <alignment horizontal="right"/>
    </xf>
    <xf numFmtId="179" fontId="4" fillId="0" borderId="0" xfId="0" applyNumberFormat="1" applyFont="1" applyAlignment="1">
      <alignment horizontal="right"/>
    </xf>
    <xf numFmtId="179" fontId="0" fillId="0" borderId="0" xfId="0" applyNumberFormat="1" applyAlignment="1">
      <alignment horizontal="right"/>
    </xf>
    <xf numFmtId="0" fontId="3" fillId="23" borderId="0" xfId="0" applyNumberFormat="1" applyFont="1" applyFill="1" applyBorder="1"/>
    <xf numFmtId="9" fontId="0" fillId="19" borderId="0" xfId="0" applyNumberFormat="1" applyFill="1" applyBorder="1"/>
    <xf numFmtId="185" fontId="3" fillId="12" borderId="11" xfId="4" applyNumberFormat="1" applyFill="1" applyBorder="1" applyAlignment="1">
      <alignment horizontal="center" vertical="center"/>
    </xf>
    <xf numFmtId="0" fontId="3" fillId="12" borderId="70" xfId="4" applyFill="1" applyBorder="1" applyAlignment="1">
      <alignment horizontal="center" vertical="center"/>
    </xf>
    <xf numFmtId="180" fontId="3" fillId="12" borderId="11" xfId="4" applyNumberFormat="1" applyFill="1" applyBorder="1" applyAlignment="1">
      <alignment horizontal="center" vertical="center"/>
    </xf>
    <xf numFmtId="0" fontId="59" fillId="12" borderId="0" xfId="4" applyFont="1" applyFill="1" applyAlignment="1">
      <alignment horizontal="left" vertical="center"/>
    </xf>
    <xf numFmtId="0" fontId="3" fillId="12" borderId="0" xfId="4" applyFill="1" applyAlignment="1">
      <alignment vertical="center"/>
    </xf>
    <xf numFmtId="0" fontId="59" fillId="12" borderId="0" xfId="4" applyFont="1" applyFill="1" applyAlignment="1" applyProtection="1">
      <alignment horizontal="left" vertical="center"/>
      <protection locked="0" hidden="1"/>
    </xf>
    <xf numFmtId="193" fontId="3" fillId="12" borderId="8" xfId="4" applyNumberFormat="1" applyFill="1" applyBorder="1" applyAlignment="1">
      <alignment horizontal="left" vertical="center"/>
    </xf>
    <xf numFmtId="193" fontId="3" fillId="12" borderId="9" xfId="4" applyNumberFormat="1" applyFill="1" applyBorder="1" applyAlignment="1">
      <alignment horizontal="left" vertical="center"/>
    </xf>
    <xf numFmtId="0" fontId="3" fillId="17" borderId="11" xfId="4" applyNumberFormat="1" applyFill="1" applyBorder="1" applyAlignment="1">
      <alignment horizontal="center" vertical="center"/>
    </xf>
    <xf numFmtId="1" fontId="3" fillId="12" borderId="11" xfId="4" applyNumberFormat="1" applyFill="1" applyBorder="1" applyAlignment="1">
      <alignment horizontal="center" vertical="center"/>
    </xf>
    <xf numFmtId="0" fontId="4" fillId="12" borderId="0" xfId="0" applyFont="1" applyFill="1" applyBorder="1" applyAlignment="1" applyProtection="1">
      <alignment horizontal="right"/>
    </xf>
    <xf numFmtId="179" fontId="48" fillId="0" borderId="0" xfId="0" applyNumberFormat="1" applyFont="1" applyAlignment="1">
      <alignment horizontal="left"/>
    </xf>
    <xf numFmtId="180" fontId="3" fillId="8" borderId="63" xfId="0" applyNumberFormat="1" applyFont="1" applyFill="1" applyBorder="1" applyAlignment="1" applyProtection="1">
      <alignment horizontal="right" vertical="center"/>
    </xf>
    <xf numFmtId="1" fontId="49" fillId="8" borderId="35" xfId="2" applyNumberFormat="1" applyFont="1" applyFill="1" applyBorder="1" applyAlignment="1" applyProtection="1">
      <alignment horizontal="right" vertical="center"/>
    </xf>
    <xf numFmtId="0" fontId="3" fillId="8" borderId="0" xfId="0" applyNumberFormat="1" applyFont="1" applyFill="1" applyBorder="1" applyAlignment="1" applyProtection="1"/>
    <xf numFmtId="2" fontId="7" fillId="10" borderId="0" xfId="0" applyNumberFormat="1" applyFont="1" applyFill="1" applyBorder="1"/>
    <xf numFmtId="0" fontId="3" fillId="12" borderId="64" xfId="0" applyNumberFormat="1" applyFont="1" applyFill="1" applyBorder="1" applyAlignment="1" applyProtection="1">
      <alignment vertical="center"/>
    </xf>
    <xf numFmtId="177" fontId="0" fillId="0" borderId="0" xfId="0" applyNumberFormat="1"/>
    <xf numFmtId="180" fontId="3" fillId="12" borderId="0" xfId="0" applyNumberFormat="1" applyFont="1" applyFill="1" applyAlignment="1" applyProtection="1">
      <alignment horizontal="right"/>
    </xf>
    <xf numFmtId="0" fontId="3" fillId="12" borderId="23" xfId="0" applyNumberFormat="1" applyFont="1" applyFill="1" applyBorder="1" applyAlignment="1" applyProtection="1"/>
    <xf numFmtId="0" fontId="3" fillId="12" borderId="40" xfId="0" applyNumberFormat="1" applyFont="1" applyFill="1" applyBorder="1" applyAlignment="1" applyProtection="1"/>
    <xf numFmtId="2" fontId="3" fillId="8" borderId="39" xfId="0" applyNumberFormat="1" applyFont="1" applyFill="1" applyBorder="1" applyAlignment="1" applyProtection="1">
      <alignment horizontal="right"/>
    </xf>
    <xf numFmtId="181" fontId="7" fillId="0" borderId="0" xfId="0" applyNumberFormat="1" applyFont="1" applyFill="1" applyBorder="1"/>
    <xf numFmtId="11" fontId="7" fillId="0" borderId="0" xfId="0" applyNumberFormat="1" applyFont="1" applyFill="1" applyBorder="1"/>
    <xf numFmtId="0" fontId="3" fillId="0" borderId="11" xfId="0" applyFont="1" applyBorder="1"/>
    <xf numFmtId="0" fontId="0" fillId="0" borderId="11" xfId="0" applyFill="1" applyBorder="1"/>
    <xf numFmtId="0" fontId="76" fillId="8" borderId="0" xfId="4" applyFont="1" applyFill="1" applyAlignment="1">
      <alignment horizontal="right" wrapText="1"/>
    </xf>
    <xf numFmtId="190" fontId="3" fillId="16" borderId="8" xfId="4" applyNumberFormat="1" applyFill="1" applyBorder="1" applyAlignment="1">
      <alignment horizontal="left" vertical="center"/>
    </xf>
    <xf numFmtId="190" fontId="3" fillId="16" borderId="9" xfId="4" applyNumberFormat="1" applyFill="1" applyBorder="1" applyAlignment="1">
      <alignment horizontal="left" vertical="center"/>
    </xf>
    <xf numFmtId="0" fontId="54" fillId="3" borderId="69" xfId="4" applyFont="1" applyFill="1" applyBorder="1" applyAlignment="1">
      <alignment horizontal="center" vertical="center"/>
    </xf>
    <xf numFmtId="0" fontId="54" fillId="3" borderId="71" xfId="4" applyFont="1" applyFill="1" applyBorder="1" applyAlignment="1">
      <alignment horizontal="center" vertical="center"/>
    </xf>
    <xf numFmtId="0" fontId="54" fillId="3" borderId="72" xfId="4" applyFont="1" applyFill="1" applyBorder="1" applyAlignment="1">
      <alignment horizontal="center" vertical="center"/>
    </xf>
    <xf numFmtId="195" fontId="3" fillId="17" borderId="8" xfId="4" applyNumberFormat="1" applyFill="1" applyBorder="1" applyAlignment="1">
      <alignment horizontal="left" vertical="center"/>
    </xf>
    <xf numFmtId="195" fontId="3" fillId="17" borderId="9" xfId="4" applyNumberFormat="1" applyFill="1" applyBorder="1" applyAlignment="1">
      <alignment horizontal="left" vertical="center"/>
    </xf>
    <xf numFmtId="193" fontId="3" fillId="12" borderId="8" xfId="4" applyNumberFormat="1" applyFill="1" applyBorder="1" applyAlignment="1">
      <alignment horizontal="left" vertical="center"/>
    </xf>
    <xf numFmtId="193" fontId="3" fillId="12" borderId="9" xfId="4" applyNumberFormat="1" applyFill="1" applyBorder="1" applyAlignment="1">
      <alignment horizontal="left" vertical="center"/>
    </xf>
    <xf numFmtId="187" fontId="3" fillId="12" borderId="8" xfId="4" applyNumberFormat="1" applyFill="1" applyBorder="1" applyAlignment="1">
      <alignment horizontal="left" vertical="center"/>
    </xf>
    <xf numFmtId="187" fontId="3" fillId="12" borderId="9" xfId="4" applyNumberFormat="1" applyFill="1" applyBorder="1" applyAlignment="1">
      <alignment horizontal="left" vertical="center"/>
    </xf>
    <xf numFmtId="186" fontId="3" fillId="12" borderId="8" xfId="4" applyNumberFormat="1" applyFill="1" applyBorder="1" applyAlignment="1">
      <alignment horizontal="left" vertical="center" wrapText="1"/>
    </xf>
    <xf numFmtId="186" fontId="3" fillId="12" borderId="9" xfId="4" applyNumberFormat="1" applyFill="1" applyBorder="1" applyAlignment="1">
      <alignment horizontal="left" vertical="center" wrapText="1"/>
    </xf>
    <xf numFmtId="186" fontId="3" fillId="12" borderId="15" xfId="4" applyNumberFormat="1" applyFill="1" applyBorder="1" applyAlignment="1">
      <alignment horizontal="left" vertical="center" wrapText="1"/>
    </xf>
    <xf numFmtId="193" fontId="3" fillId="17" borderId="8" xfId="4" applyNumberFormat="1" applyFill="1" applyBorder="1" applyAlignment="1">
      <alignment horizontal="left" vertical="center"/>
    </xf>
    <xf numFmtId="193" fontId="3" fillId="17" borderId="9" xfId="4" applyNumberFormat="1" applyFill="1" applyBorder="1" applyAlignment="1">
      <alignment horizontal="left" vertical="center"/>
    </xf>
    <xf numFmtId="192" fontId="3" fillId="16" borderId="8" xfId="4" applyNumberFormat="1" applyFill="1" applyBorder="1" applyAlignment="1">
      <alignment horizontal="left" vertical="center"/>
    </xf>
    <xf numFmtId="192" fontId="3" fillId="16" borderId="9" xfId="4" applyNumberFormat="1" applyFill="1" applyBorder="1" applyAlignment="1">
      <alignment horizontal="left" vertical="center"/>
    </xf>
    <xf numFmtId="187" fontId="3" fillId="17" borderId="8" xfId="4" applyNumberFormat="1" applyFill="1" applyBorder="1" applyAlignment="1">
      <alignment horizontal="left" vertical="center"/>
    </xf>
    <xf numFmtId="187" fontId="3" fillId="17" borderId="9" xfId="4" applyNumberFormat="1" applyFill="1" applyBorder="1" applyAlignment="1">
      <alignment horizontal="left" vertical="center"/>
    </xf>
    <xf numFmtId="0" fontId="40" fillId="12" borderId="22" xfId="0" applyFont="1" applyFill="1" applyBorder="1" applyAlignment="1" applyProtection="1">
      <alignment horizontal="left" vertical="center"/>
    </xf>
    <xf numFmtId="0" fontId="40" fillId="12" borderId="0" xfId="0" applyFont="1" applyFill="1" applyBorder="1" applyAlignment="1" applyProtection="1">
      <alignment horizontal="left" vertical="center"/>
    </xf>
    <xf numFmtId="0" fontId="4" fillId="0" borderId="0" xfId="0" applyFont="1" applyAlignment="1">
      <alignment horizontal="center"/>
    </xf>
    <xf numFmtId="0" fontId="5" fillId="3" borderId="0" xfId="0" applyFont="1" applyFill="1" applyAlignment="1">
      <alignment horizontal="left"/>
    </xf>
    <xf numFmtId="0" fontId="4" fillId="4" borderId="71" xfId="4" applyFont="1" applyFill="1" applyBorder="1" applyAlignment="1">
      <alignment horizontal="left"/>
    </xf>
    <xf numFmtId="0" fontId="4" fillId="4" borderId="46" xfId="4" applyFont="1" applyFill="1" applyBorder="1" applyAlignment="1">
      <alignment horizontal="left"/>
    </xf>
    <xf numFmtId="0" fontId="4" fillId="4" borderId="78" xfId="4" applyFont="1" applyFill="1" applyBorder="1" applyAlignment="1">
      <alignment horizontal="left"/>
    </xf>
    <xf numFmtId="0" fontId="4" fillId="4" borderId="66" xfId="4" applyFont="1" applyFill="1" applyBorder="1" applyAlignment="1">
      <alignment horizontal="left"/>
    </xf>
    <xf numFmtId="0" fontId="13" fillId="3" borderId="0" xfId="4" applyFont="1" applyFill="1" applyAlignment="1">
      <alignment horizontal="left" vertical="center"/>
    </xf>
    <xf numFmtId="0" fontId="23" fillId="21" borderId="0" xfId="4" applyFont="1" applyFill="1" applyBorder="1" applyAlignment="1" applyProtection="1">
      <alignment horizontal="center" vertical="center"/>
    </xf>
    <xf numFmtId="0" fontId="4" fillId="0" borderId="0" xfId="4" applyFont="1" applyAlignment="1">
      <alignment horizontal="left" vertical="center" wrapText="1"/>
    </xf>
    <xf numFmtId="0" fontId="4" fillId="4" borderId="65" xfId="4" applyFont="1" applyFill="1" applyBorder="1" applyAlignment="1">
      <alignment horizontal="left"/>
    </xf>
  </cellXfs>
  <cellStyles count="8">
    <cellStyle name="Comma 2" xfId="6" xr:uid="{00000000-0005-0000-0000-000001000000}"/>
    <cellStyle name="Normal 2" xfId="4" xr:uid="{00000000-0005-0000-0000-000004000000}"/>
    <cellStyle name="Normal 3" xfId="5" xr:uid="{00000000-0005-0000-0000-000005000000}"/>
    <cellStyle name="パーセント" xfId="7" builtinId="5"/>
    <cellStyle name="ハイパーリンク" xfId="3" builtinId="8"/>
    <cellStyle name="桁区切り [0.00]" xfId="2" builtinId="3"/>
    <cellStyle name="行レベル_1" xfId="1" builtinId="1" iLevel="0"/>
    <cellStyle name="標準" xfId="0" builtinId="0"/>
  </cellStyles>
  <dxfs count="60">
    <dxf>
      <border>
        <left style="thin">
          <color indexed="64"/>
        </left>
        <right style="thin">
          <color indexed="64"/>
        </right>
        <top style="thin">
          <color indexed="64"/>
        </top>
        <bottom style="thin">
          <color indexed="64"/>
        </bottom>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99"/>
      </font>
    </dxf>
    <dxf>
      <font>
        <color theme="0"/>
      </font>
    </dxf>
    <dxf>
      <font>
        <strike val="0"/>
        <color theme="0"/>
      </font>
      <fill>
        <patternFill>
          <bgColor rgb="FFFF0000"/>
        </patternFill>
      </fill>
    </dxf>
    <dxf>
      <font>
        <color theme="0"/>
      </font>
      <fill>
        <patternFill patternType="solid">
          <fgColor auto="1"/>
          <bgColor rgb="FFFF0000"/>
        </patternFill>
      </fill>
    </dxf>
    <dxf>
      <font>
        <color theme="0"/>
      </font>
      <fill>
        <patternFill>
          <bgColor theme="0"/>
        </patternFill>
      </fill>
    </dxf>
    <dxf>
      <font>
        <b/>
        <i val="0"/>
        <color rgb="FFFF0000"/>
      </font>
    </dxf>
    <dxf>
      <font>
        <color rgb="FFFF0000"/>
      </font>
    </dxf>
    <dxf>
      <border>
        <top/>
        <bottom/>
        <vertical/>
        <horizontal/>
      </border>
    </dxf>
    <dxf>
      <border>
        <left/>
        <right/>
        <top/>
        <bottom/>
        <vertical/>
        <horizontal/>
      </border>
    </dxf>
    <dxf>
      <font>
        <color theme="0"/>
      </font>
      <fill>
        <patternFill>
          <bgColor theme="0"/>
        </patternFill>
      </fill>
      <border>
        <right/>
        <top/>
        <bottom/>
      </border>
    </dxf>
    <dxf>
      <border>
        <bottom/>
        <vertical/>
        <horizontal/>
      </border>
    </dxf>
    <dxf>
      <border>
        <bottom/>
        <vertical/>
        <horizontal/>
      </border>
    </dxf>
    <dxf>
      <border>
        <right/>
        <vertical/>
        <horizontal/>
      </border>
    </dxf>
    <dxf>
      <border>
        <bottom/>
        <vertical/>
        <horizontal/>
      </border>
    </dxf>
    <dxf>
      <font>
        <strike val="0"/>
        <color theme="0"/>
      </font>
      <fill>
        <patternFill>
          <bgColor theme="0"/>
        </patternFill>
      </fill>
    </dxf>
    <dxf>
      <font>
        <color rgb="FFFF0000"/>
      </font>
    </dxf>
    <dxf>
      <font>
        <color rgb="FFFF0000"/>
      </font>
    </dxf>
    <dxf>
      <font>
        <color rgb="FFFF0000"/>
      </font>
    </dxf>
    <dxf>
      <font>
        <color theme="0"/>
      </font>
      <fill>
        <patternFill>
          <bgColor theme="0"/>
        </patternFill>
      </fill>
    </dxf>
    <dxf>
      <font>
        <b/>
        <i val="0"/>
        <color rgb="FFC00000"/>
      </font>
    </dxf>
    <dxf>
      <font>
        <color rgb="FFFF0000"/>
      </font>
    </dxf>
    <dxf>
      <font>
        <color rgb="FFFF0000"/>
      </font>
    </dxf>
    <dxf>
      <font>
        <color rgb="FFFF0000"/>
      </font>
    </dxf>
    <dxf>
      <font>
        <b/>
        <i val="0"/>
        <color rgb="FFFF0000"/>
      </font>
    </dxf>
    <dxf>
      <font>
        <b/>
        <i val="0"/>
        <condense val="0"/>
        <extend val="0"/>
        <color indexed="12"/>
      </font>
    </dxf>
    <dxf>
      <font>
        <b/>
        <i val="0"/>
        <condense val="0"/>
        <extend val="0"/>
        <color indexed="10"/>
      </font>
    </dxf>
    <dxf>
      <font>
        <color rgb="FFFF0000"/>
      </font>
    </dxf>
    <dxf>
      <font>
        <color rgb="FFFF0000"/>
      </font>
    </dxf>
    <dxf>
      <font>
        <color rgb="FFFF0000"/>
      </font>
    </dxf>
    <dxf>
      <font>
        <color rgb="FFFF0000"/>
      </font>
    </dxf>
    <dxf>
      <border>
        <right/>
        <vertical/>
        <horizontal/>
      </border>
    </dxf>
    <dxf>
      <border>
        <left/>
        <right/>
        <top/>
        <bottom/>
        <vertical/>
        <horizontal/>
      </border>
    </dxf>
    <dxf>
      <border>
        <bottom/>
        <vertical/>
        <horizontal/>
      </border>
    </dxf>
    <dxf>
      <font>
        <color rgb="FFFF0000"/>
      </font>
    </dxf>
    <dxf>
      <font>
        <color rgb="FFFF0000"/>
      </font>
    </dxf>
    <dxf>
      <font>
        <b/>
        <i val="0"/>
        <color rgb="FFFF0000"/>
      </font>
    </dxf>
    <dxf>
      <font>
        <b/>
        <i val="0"/>
        <color rgb="FFC00000"/>
      </font>
    </dxf>
    <dxf>
      <font>
        <color theme="0"/>
      </font>
      <fill>
        <patternFill>
          <bgColor theme="0"/>
        </patternFill>
      </fill>
    </dxf>
    <dxf>
      <font>
        <b/>
        <i val="0"/>
        <color rgb="FFC00000"/>
      </font>
    </dxf>
    <dxf>
      <font>
        <color theme="0"/>
      </font>
    </dxf>
    <dxf>
      <font>
        <b/>
        <i val="0"/>
        <color rgb="FFC00000"/>
      </font>
    </dxf>
    <dxf>
      <font>
        <color theme="0"/>
      </font>
      <fill>
        <patternFill>
          <bgColor theme="0"/>
        </patternFill>
      </fill>
    </dxf>
    <dxf>
      <font>
        <color theme="0"/>
      </font>
    </dxf>
    <dxf>
      <font>
        <color rgb="FFFF0000"/>
      </font>
    </dxf>
    <dxf>
      <font>
        <color rgb="FFFF0000"/>
      </font>
    </dxf>
    <dxf>
      <font>
        <color rgb="FFFF0000"/>
      </font>
    </dxf>
    <dxf>
      <font>
        <color rgb="FFFF0000"/>
      </font>
    </dxf>
    <dxf>
      <font>
        <color rgb="FFFF0000"/>
      </font>
    </dxf>
    <dxf>
      <font>
        <b/>
        <i val="0"/>
        <color rgb="FFFF0000"/>
      </font>
    </dxf>
    <dxf>
      <font>
        <b/>
        <i val="0"/>
        <condense val="0"/>
        <extend val="0"/>
        <color indexed="10"/>
      </font>
    </dxf>
  </dxfs>
  <tableStyles count="0" defaultTableStyle="TableStyleMedium9" defaultPivotStyle="PivotStyleLight16"/>
  <colors>
    <mruColors>
      <color rgb="FFCCFFFF"/>
      <color rgb="FFEE6112"/>
      <color rgb="FF0000FF"/>
      <color rgb="FFFFFF99"/>
      <color rgb="FFFFFF66"/>
      <color rgb="FFFF9900"/>
      <color rgb="FF33CC33"/>
      <color rgb="FFFF00FF"/>
      <color rgb="FF00FF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3132914835E-2"/>
          <c:y val="0.12133523343001466"/>
          <c:w val="0.80670936294253548"/>
          <c:h val="0.7558980268938309"/>
        </c:manualLayout>
      </c:layout>
      <c:lineChart>
        <c:grouping val="standard"/>
        <c:varyColors val="0"/>
        <c:ser>
          <c:idx val="1"/>
          <c:order val="0"/>
          <c:tx>
            <c:v>VIN-min</c:v>
          </c:tx>
          <c:spPr>
            <a:ln w="19050">
              <a:solidFill>
                <a:srgbClr val="00B050"/>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Single'!$AN$110:$AN$210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344.98355456637233</c:v>
                </c:pt>
                <c:pt idx="46">
                  <c:v>337.48391207579903</c:v>
                </c:pt>
                <c:pt idx="47">
                  <c:v>330.30340330822884</c:v>
                </c:pt>
                <c:pt idx="48">
                  <c:v>323.42208240597404</c:v>
                </c:pt>
                <c:pt idx="49">
                  <c:v>316.82163174462755</c:v>
                </c:pt>
                <c:pt idx="50">
                  <c:v>310.48519910973499</c:v>
                </c:pt>
                <c:pt idx="51">
                  <c:v>304.39725402915195</c:v>
                </c:pt>
                <c:pt idx="52">
                  <c:v>298.54346068243757</c:v>
                </c:pt>
                <c:pt idx="53">
                  <c:v>292.91056519786321</c:v>
                </c:pt>
                <c:pt idx="54">
                  <c:v>287.48629547197686</c:v>
                </c:pt>
                <c:pt idx="55">
                  <c:v>282.25927191794085</c:v>
                </c:pt>
                <c:pt idx="56">
                  <c:v>277.21892777654909</c:v>
                </c:pt>
                <c:pt idx="57">
                  <c:v>272.35543781555708</c:v>
                </c:pt>
                <c:pt idx="58">
                  <c:v>267.65965440494404</c:v>
                </c:pt>
                <c:pt idx="59">
                  <c:v>263.12305009299592</c:v>
                </c:pt>
                <c:pt idx="60">
                  <c:v>258.73766592477926</c:v>
                </c:pt>
                <c:pt idx="61">
                  <c:v>254.49606484404518</c:v>
                </c:pt>
                <c:pt idx="62">
                  <c:v>250.39128960462503</c:v>
                </c:pt>
                <c:pt idx="63">
                  <c:v>246.41682469026591</c:v>
                </c:pt>
                <c:pt idx="64">
                  <c:v>242.56656180448053</c:v>
                </c:pt>
                <c:pt idx="65">
                  <c:v>238.83476854595006</c:v>
                </c:pt>
                <c:pt idx="66">
                  <c:v>235.21605993161748</c:v>
                </c:pt>
                <c:pt idx="67">
                  <c:v>231.70537246995156</c:v>
                </c:pt>
                <c:pt idx="68">
                  <c:v>228.29794052186401</c:v>
                </c:pt>
                <c:pt idx="69">
                  <c:v>224.98927471719941</c:v>
                </c:pt>
                <c:pt idx="70">
                  <c:v>221.77514222123941</c:v>
                </c:pt>
                <c:pt idx="71">
                  <c:v>218.65154866882756</c:v>
                </c:pt>
                <c:pt idx="72">
                  <c:v>215.61472160398273</c:v>
                </c:pt>
                <c:pt idx="73">
                  <c:v>212.66109528064044</c:v>
                </c:pt>
                <c:pt idx="74">
                  <c:v>209.78729669576697</c:v>
                </c:pt>
                <c:pt idx="75">
                  <c:v>206.99013273982331</c:v>
                </c:pt>
                <c:pt idx="76">
                  <c:v>204.2665783616678</c:v>
                </c:pt>
                <c:pt idx="77">
                  <c:v>201.61376565567213</c:v>
                </c:pt>
                <c:pt idx="78">
                  <c:v>199.02897378829169</c:v>
                </c:pt>
                <c:pt idx="79">
                  <c:v>196.50961968970566</c:v>
                </c:pt>
                <c:pt idx="80">
                  <c:v>194.05324944358438</c:v>
                </c:pt>
                <c:pt idx="81">
                  <c:v>191.65753031465127</c:v>
                </c:pt>
                <c:pt idx="82">
                  <c:v>189.32024335959454</c:v>
                </c:pt>
                <c:pt idx="83">
                  <c:v>187.03927657212958</c:v>
                </c:pt>
                <c:pt idx="84">
                  <c:v>184.81261851769949</c:v>
                </c:pt>
                <c:pt idx="85">
                  <c:v>182.63835241749118</c:v>
                </c:pt>
                <c:pt idx="86">
                  <c:v>180.51465064519479</c:v>
                </c:pt>
                <c:pt idx="87">
                  <c:v>178.43976960329601</c:v>
                </c:pt>
                <c:pt idx="88">
                  <c:v>176.41204494871309</c:v>
                </c:pt>
                <c:pt idx="89">
                  <c:v>174.42988714030062</c:v>
                </c:pt>
                <c:pt idx="90">
                  <c:v>172.49177728318617</c:v>
                </c:pt>
                <c:pt idx="91">
                  <c:v>170.5962632471072</c:v>
                </c:pt>
                <c:pt idx="92">
                  <c:v>168.74195603789951</c:v>
                </c:pt>
                <c:pt idx="93">
                  <c:v>166.92752640308336</c:v>
                </c:pt>
                <c:pt idx="94">
                  <c:v>165.15170165411442</c:v>
                </c:pt>
                <c:pt idx="95">
                  <c:v>163.41326268933423</c:v>
                </c:pt>
                <c:pt idx="96">
                  <c:v>161.71104120298702</c:v>
                </c:pt>
                <c:pt idx="97">
                  <c:v>160.04391706687377</c:v>
                </c:pt>
                <c:pt idx="98">
                  <c:v>158.41081587231378</c:v>
                </c:pt>
                <c:pt idx="99">
                  <c:v>156.81070662107828</c:v>
                </c:pt>
                <c:pt idx="100">
                  <c:v>155.2425995548675</c:v>
                </c:pt>
              </c:numCache>
            </c:numRef>
          </c:val>
          <c:smooth val="0"/>
          <c:extLst>
            <c:ext xmlns:c16="http://schemas.microsoft.com/office/drawing/2014/chart" uri="{C3380CC4-5D6E-409C-BE32-E72D297353CC}">
              <c16:uniqueId val="{00000000-BCB5-4360-8873-44D4E575F464}"/>
            </c:ext>
          </c:extLst>
        </c:ser>
        <c:ser>
          <c:idx val="0"/>
          <c:order val="1"/>
          <c:tx>
            <c:v>VIN-nom</c:v>
          </c:tx>
          <c:spPr>
            <a:ln w="19050">
              <a:solidFill>
                <a:srgbClr val="FF0000"/>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Single'!$AN$5:$AN$105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346.31735572324357</c:v>
                </c:pt>
                <c:pt idx="51">
                  <c:v>339.52681933651337</c:v>
                </c:pt>
                <c:pt idx="52">
                  <c:v>332.99745742619575</c:v>
                </c:pt>
                <c:pt idx="53">
                  <c:v>326.7144865313619</c:v>
                </c:pt>
                <c:pt idx="54">
                  <c:v>320.66421826226252</c:v>
                </c:pt>
                <c:pt idx="55">
                  <c:v>314.83395974840323</c:v>
                </c:pt>
                <c:pt idx="56">
                  <c:v>309.21192475289604</c:v>
                </c:pt>
                <c:pt idx="57">
                  <c:v>303.78715414319618</c:v>
                </c:pt>
                <c:pt idx="58">
                  <c:v>298.5494445890032</c:v>
                </c:pt>
                <c:pt idx="59">
                  <c:v>293.48928451122345</c:v>
                </c:pt>
                <c:pt idx="60">
                  <c:v>288.59779643603639</c:v>
                </c:pt>
                <c:pt idx="61">
                  <c:v>283.86668501905223</c:v>
                </c:pt>
                <c:pt idx="62">
                  <c:v>279.28819009939002</c:v>
                </c:pt>
                <c:pt idx="63">
                  <c:v>274.85504422479659</c:v>
                </c:pt>
                <c:pt idx="64">
                  <c:v>270.56043415878412</c:v>
                </c:pt>
                <c:pt idx="65">
                  <c:v>266.39796594095662</c:v>
                </c:pt>
                <c:pt idx="66">
                  <c:v>262.36163312366949</c:v>
                </c:pt>
                <c:pt idx="67">
                  <c:v>258.44578785316691</c:v>
                </c:pt>
                <c:pt idx="68">
                  <c:v>254.64511450238504</c:v>
                </c:pt>
                <c:pt idx="69">
                  <c:v>250.95460559655336</c:v>
                </c:pt>
                <c:pt idx="70">
                  <c:v>247.36953980231692</c:v>
                </c:pt>
                <c:pt idx="71">
                  <c:v>243.88546177693215</c:v>
                </c:pt>
                <c:pt idx="72">
                  <c:v>240.49816369669702</c:v>
                </c:pt>
                <c:pt idx="73">
                  <c:v>237.20366830359154</c:v>
                </c:pt>
                <c:pt idx="74">
                  <c:v>233.99821332651601</c:v>
                </c:pt>
                <c:pt idx="75">
                  <c:v>230.87823714882904</c:v>
                </c:pt>
                <c:pt idx="76">
                  <c:v>227.84036560739713</c:v>
                </c:pt>
                <c:pt idx="77">
                  <c:v>224.88139982028804</c:v>
                </c:pt>
                <c:pt idx="78">
                  <c:v>221.99830495079718</c:v>
                </c:pt>
                <c:pt idx="79">
                  <c:v>219.18819982483777</c:v>
                </c:pt>
                <c:pt idx="80">
                  <c:v>216.44834732702722</c:v>
                </c:pt>
                <c:pt idx="81">
                  <c:v>213.77614550817506</c:v>
                </c:pt>
                <c:pt idx="82">
                  <c:v>211.16911934344128</c:v>
                </c:pt>
                <c:pt idx="83">
                  <c:v>208.62491308629137</c:v>
                </c:pt>
                <c:pt idx="84">
                  <c:v>206.14128316859745</c:v>
                </c:pt>
                <c:pt idx="85">
                  <c:v>203.716091601908</c:v>
                </c:pt>
                <c:pt idx="86">
                  <c:v>201.34729983909514</c:v>
                </c:pt>
                <c:pt idx="87">
                  <c:v>199.03296305933543</c:v>
                </c:pt>
                <c:pt idx="88">
                  <c:v>196.77122484275205</c:v>
                </c:pt>
                <c:pt idx="89">
                  <c:v>194.56031220406948</c:v>
                </c:pt>
                <c:pt idx="90">
                  <c:v>192.39853095735756</c:v>
                </c:pt>
                <c:pt idx="91">
                  <c:v>190.28426138639759</c:v>
                </c:pt>
                <c:pt idx="92">
                  <c:v>188.21595419741502</c:v>
                </c:pt>
                <c:pt idx="93">
                  <c:v>186.19212673292668</c:v>
                </c:pt>
                <c:pt idx="94">
                  <c:v>184.21135942725724</c:v>
                </c:pt>
                <c:pt idx="95">
                  <c:v>182.27229248591769</c:v>
                </c:pt>
                <c:pt idx="96">
                  <c:v>180.37362277252276</c:v>
                </c:pt>
                <c:pt idx="97">
                  <c:v>178.51410088826992</c:v>
                </c:pt>
                <c:pt idx="98">
                  <c:v>176.6925284302263</c:v>
                </c:pt>
                <c:pt idx="99">
                  <c:v>174.9077554157796</c:v>
                </c:pt>
                <c:pt idx="100">
                  <c:v>173.15867786162178</c:v>
                </c:pt>
              </c:numCache>
            </c:numRef>
          </c:val>
          <c:smooth val="0"/>
          <c:extLst>
            <c:ext xmlns:c16="http://schemas.microsoft.com/office/drawing/2014/chart" uri="{C3380CC4-5D6E-409C-BE32-E72D297353CC}">
              <c16:uniqueId val="{00000001-BCB5-4360-8873-44D4E575F464}"/>
            </c:ext>
          </c:extLst>
        </c:ser>
        <c:ser>
          <c:idx val="2"/>
          <c:order val="2"/>
          <c:tx>
            <c:v>VIN-max</c:v>
          </c:tx>
          <c:spPr>
            <a:ln w="19050">
              <a:solidFill>
                <a:srgbClr val="0000FF"/>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Single'!$AN$216:$AN$316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350</c:v>
                </c:pt>
                <c:pt idx="51">
                  <c:v>350</c:v>
                </c:pt>
                <c:pt idx="52">
                  <c:v>350</c:v>
                </c:pt>
                <c:pt idx="53">
                  <c:v>350</c:v>
                </c:pt>
                <c:pt idx="54">
                  <c:v>350</c:v>
                </c:pt>
                <c:pt idx="55">
                  <c:v>345.87156140357638</c:v>
                </c:pt>
                <c:pt idx="56">
                  <c:v>339.69528352136973</c:v>
                </c:pt>
                <c:pt idx="57">
                  <c:v>333.73571714380188</c:v>
                </c:pt>
                <c:pt idx="58">
                  <c:v>327.98165305511566</c:v>
                </c:pt>
                <c:pt idx="59">
                  <c:v>322.42264198638486</c:v>
                </c:pt>
                <c:pt idx="60">
                  <c:v>317.04893128661183</c:v>
                </c:pt>
                <c:pt idx="61">
                  <c:v>311.85140782289687</c:v>
                </c:pt>
                <c:pt idx="62">
                  <c:v>306.82154640639845</c:v>
                </c:pt>
                <c:pt idx="63">
                  <c:v>301.95136313010647</c:v>
                </c:pt>
                <c:pt idx="64">
                  <c:v>297.23337308119858</c:v>
                </c:pt>
                <c:pt idx="65">
                  <c:v>292.66055195687238</c:v>
                </c:pt>
                <c:pt idx="66">
                  <c:v>288.22630116964706</c:v>
                </c:pt>
                <c:pt idx="67">
                  <c:v>283.9244160775628</c:v>
                </c:pt>
                <c:pt idx="68">
                  <c:v>279.74905701759855</c:v>
                </c:pt>
                <c:pt idx="69">
                  <c:v>275.69472285792335</c:v>
                </c:pt>
                <c:pt idx="70">
                  <c:v>271.75622681709581</c:v>
                </c:pt>
                <c:pt idx="71">
                  <c:v>267.92867432671426</c:v>
                </c:pt>
                <c:pt idx="72">
                  <c:v>264.20744273884316</c:v>
                </c:pt>
                <c:pt idx="73">
                  <c:v>260.58816270132485</c:v>
                </c:pt>
                <c:pt idx="74">
                  <c:v>257.0667010431988</c:v>
                </c:pt>
                <c:pt idx="75">
                  <c:v>253.63914502928941</c:v>
                </c:pt>
                <c:pt idx="76">
                  <c:v>250.30178785785139</c:v>
                </c:pt>
                <c:pt idx="77">
                  <c:v>247.0511152882689</c:v>
                </c:pt>
                <c:pt idx="78">
                  <c:v>243.88379329739362</c:v>
                </c:pt>
                <c:pt idx="79">
                  <c:v>240.79665667337602</c:v>
                </c:pt>
                <c:pt idx="80">
                  <c:v>237.78669846495876</c:v>
                </c:pt>
                <c:pt idx="81">
                  <c:v>234.85106021230499</c:v>
                </c:pt>
                <c:pt idx="82">
                  <c:v>231.98702289264281</c:v>
                </c:pt>
                <c:pt idx="83">
                  <c:v>229.19199852044227</c:v>
                </c:pt>
                <c:pt idx="84">
                  <c:v>226.46352234757987</c:v>
                </c:pt>
                <c:pt idx="85">
                  <c:v>223.7992456140789</c:v>
                </c:pt>
                <c:pt idx="86">
                  <c:v>221.1969288046129</c:v>
                </c:pt>
                <c:pt idx="87">
                  <c:v>218.65443537007707</c:v>
                </c:pt>
                <c:pt idx="88">
                  <c:v>216.16972587723529</c:v>
                </c:pt>
                <c:pt idx="89">
                  <c:v>213.74085255277197</c:v>
                </c:pt>
                <c:pt idx="90">
                  <c:v>211.36595419107454</c:v>
                </c:pt>
                <c:pt idx="91">
                  <c:v>209.043251397766</c:v>
                </c:pt>
                <c:pt idx="92">
                  <c:v>206.7710421434424</c:v>
                </c:pt>
                <c:pt idx="93">
                  <c:v>204.54769760426564</c:v>
                </c:pt>
                <c:pt idx="94">
                  <c:v>202.37165826805003</c:v>
                </c:pt>
                <c:pt idx="95">
                  <c:v>200.24143028628109</c:v>
                </c:pt>
                <c:pt idx="96">
                  <c:v>198.15558205413237</c:v>
                </c:pt>
                <c:pt idx="97">
                  <c:v>196.11274100202786</c:v>
                </c:pt>
                <c:pt idx="98">
                  <c:v>194.11159058363984</c:v>
                </c:pt>
                <c:pt idx="99">
                  <c:v>192.15086744643136</c:v>
                </c:pt>
                <c:pt idx="100">
                  <c:v>190.22935877196704</c:v>
                </c:pt>
              </c:numCache>
            </c:numRef>
          </c:val>
          <c:smooth val="0"/>
          <c:extLst>
            <c:ext xmlns:c16="http://schemas.microsoft.com/office/drawing/2014/chart" uri="{C3380CC4-5D6E-409C-BE32-E72D297353CC}">
              <c16:uniqueId val="{00000002-BCB5-4360-8873-44D4E575F464}"/>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BCB5-4360-8873-44D4E575F464}"/>
            </c:ext>
          </c:extLst>
        </c:ser>
        <c:ser>
          <c:idx val="4"/>
          <c:order val="4"/>
          <c:spPr>
            <a:ln>
              <a:noFill/>
            </a:ln>
          </c:spPr>
          <c:marker>
            <c:symbol val="x"/>
            <c:size val="10"/>
            <c:spPr>
              <a:pattFill prst="pct5">
                <a:fgClr>
                  <a:schemeClr val="tx1"/>
                </a:fgClr>
                <a:bgClr>
                  <a:schemeClr val="bg1"/>
                </a:bgClr>
              </a:pattFill>
              <a:ln>
                <a:solidFill>
                  <a:srgbClr val="0000FF"/>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4-BCB5-4360-8873-44D4E575F464}"/>
            </c:ext>
          </c:extLst>
        </c:ser>
        <c:ser>
          <c:idx val="5"/>
          <c:order val="5"/>
          <c:spPr>
            <a:ln>
              <a:noFill/>
            </a:ln>
          </c:spPr>
          <c:marker>
            <c:symbol val="x"/>
            <c:size val="10"/>
            <c:spPr>
              <a:pattFill prst="pct5">
                <a:fgClr>
                  <a:schemeClr val="tx1"/>
                </a:fgClr>
                <a:bgClr>
                  <a:schemeClr val="bg1"/>
                </a:bgClr>
              </a:pattFill>
              <a:ln>
                <a:solidFill>
                  <a:srgbClr val="FF0000"/>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5-BCB5-4360-8873-44D4E575F464}"/>
            </c:ext>
          </c:extLst>
        </c:ser>
        <c:dLbls>
          <c:showLegendKey val="0"/>
          <c:showVal val="0"/>
          <c:showCatName val="0"/>
          <c:showSerName val="0"/>
          <c:showPercent val="0"/>
          <c:showBubbleSize val="0"/>
        </c:dLbls>
        <c:marker val="1"/>
        <c:smooth val="0"/>
        <c:axId val="96581120"/>
        <c:axId val="96583040"/>
      </c:lineChart>
      <c:lineChart>
        <c:grouping val="standard"/>
        <c:varyColors val="0"/>
        <c:ser>
          <c:idx val="6"/>
          <c:order val="6"/>
          <c:spPr>
            <a:ln w="31750">
              <a:solidFill>
                <a:srgbClr val="FF0000"/>
              </a:solidFill>
            </a:ln>
          </c:spPr>
          <c:marker>
            <c:symbol val="none"/>
          </c:marker>
          <c:val>
            <c:numRef>
              <c:f>'Calculations - Single'!$AW$5:$AW$105</c:f>
              <c:numCache>
                <c:formatCode>0.000</c:formatCode>
                <c:ptCount val="101"/>
                <c:pt idx="0">
                  <c:v>1.0149999999999999E-2</c:v>
                </c:pt>
                <c:pt idx="1">
                  <c:v>1.4080459770114946E-2</c:v>
                </c:pt>
                <c:pt idx="2">
                  <c:v>2.8160919540229892E-2</c:v>
                </c:pt>
                <c:pt idx="3">
                  <c:v>4.2241379310344836E-2</c:v>
                </c:pt>
                <c:pt idx="4">
                  <c:v>5.6321839080459783E-2</c:v>
                </c:pt>
                <c:pt idx="5">
                  <c:v>7.0402298850574738E-2</c:v>
                </c:pt>
                <c:pt idx="6">
                  <c:v>8.4482758620689671E-2</c:v>
                </c:pt>
                <c:pt idx="7">
                  <c:v>9.8563218390804619E-2</c:v>
                </c:pt>
                <c:pt idx="8">
                  <c:v>0.11264367816091957</c:v>
                </c:pt>
                <c:pt idx="9">
                  <c:v>0.12672413793103449</c:v>
                </c:pt>
                <c:pt idx="10">
                  <c:v>0.14080459770114948</c:v>
                </c:pt>
                <c:pt idx="11">
                  <c:v>0.15488505747126441</c:v>
                </c:pt>
                <c:pt idx="12">
                  <c:v>0.16896551724137934</c:v>
                </c:pt>
                <c:pt idx="13">
                  <c:v>0.18304597701149428</c:v>
                </c:pt>
                <c:pt idx="14">
                  <c:v>0.19712643678160924</c:v>
                </c:pt>
                <c:pt idx="15">
                  <c:v>0.21120689655172417</c:v>
                </c:pt>
                <c:pt idx="16">
                  <c:v>0.22528735632183913</c:v>
                </c:pt>
                <c:pt idx="17">
                  <c:v>0.23936781609195404</c:v>
                </c:pt>
                <c:pt idx="18">
                  <c:v>0.25344827586206897</c:v>
                </c:pt>
                <c:pt idx="19">
                  <c:v>0.26752873563218399</c:v>
                </c:pt>
                <c:pt idx="20">
                  <c:v>0.28160919540229895</c:v>
                </c:pt>
                <c:pt idx="21">
                  <c:v>0.29568965517241391</c:v>
                </c:pt>
                <c:pt idx="22">
                  <c:v>0.30977011494252882</c:v>
                </c:pt>
                <c:pt idx="23">
                  <c:v>0.32385057471264372</c:v>
                </c:pt>
                <c:pt idx="24">
                  <c:v>0.3381530202653088</c:v>
                </c:pt>
                <c:pt idx="25">
                  <c:v>0.35950623030860501</c:v>
                </c:pt>
                <c:pt idx="26">
                  <c:v>0.36999881460217887</c:v>
                </c:pt>
                <c:pt idx="27">
                  <c:v>0.37704704439129411</c:v>
                </c:pt>
                <c:pt idx="28">
                  <c:v>0.38396591588499557</c:v>
                </c:pt>
                <c:pt idx="29">
                  <c:v>0.3907623004316006</c:v>
                </c:pt>
                <c:pt idx="30">
                  <c:v>0.39744248177036817</c:v>
                </c:pt>
                <c:pt idx="31">
                  <c:v>0.40401222406380527</c:v>
                </c:pt>
                <c:pt idx="32">
                  <c:v>0.41047683012586156</c:v>
                </c:pt>
                <c:pt idx="33">
                  <c:v>0.41684119151946641</c:v>
                </c:pt>
                <c:pt idx="34">
                  <c:v>0.42310983186941115</c:v>
                </c:pt>
                <c:pt idx="35">
                  <c:v>0.42928694448090821</c:v>
                </c:pt>
                <c:pt idx="36">
                  <c:v>0.43537642515293284</c:v>
                </c:pt>
                <c:pt idx="37">
                  <c:v>0.4413819009159079</c:v>
                </c:pt>
                <c:pt idx="38">
                  <c:v>0.44730675529588559</c:v>
                </c:pt>
                <c:pt idx="39">
                  <c:v>0.45315415060498604</c:v>
                </c:pt>
                <c:pt idx="40">
                  <c:v>0.45892704767503012</c:v>
                </c:pt>
                <c:pt idx="41">
                  <c:v>0.4646282233839355</c:v>
                </c:pt>
                <c:pt idx="42">
                  <c:v>0.47026028626932265</c:v>
                </c:pt>
                <c:pt idx="43">
                  <c:v>0.47582569047845485</c:v>
                </c:pt>
                <c:pt idx="44">
                  <c:v>0.48132674826617644</c:v>
                </c:pt>
                <c:pt idx="45">
                  <c:v>0.48676564122140359</c:v>
                </c:pt>
                <c:pt idx="46">
                  <c:v>0.4921444303767718</c:v>
                </c:pt>
                <c:pt idx="47">
                  <c:v>0.49746506533431084</c:v>
                </c:pt>
                <c:pt idx="48">
                  <c:v>0.50272939252172555</c:v>
                </c:pt>
                <c:pt idx="49">
                  <c:v>0.50793916267842176</c:v>
                </c:pt>
                <c:pt idx="50">
                  <c:v>0.50769732283874092</c:v>
                </c:pt>
                <c:pt idx="51">
                  <c:v>0.5026952567846148</c:v>
                </c:pt>
                <c:pt idx="52">
                  <c:v>0.50515463917525771</c:v>
                </c:pt>
                <c:pt idx="53">
                  <c:v>0.50515463917525771</c:v>
                </c:pt>
                <c:pt idx="54">
                  <c:v>0.5051546391752576</c:v>
                </c:pt>
                <c:pt idx="55">
                  <c:v>0.50515463917525771</c:v>
                </c:pt>
                <c:pt idx="56">
                  <c:v>0.50515463917525771</c:v>
                </c:pt>
                <c:pt idx="57">
                  <c:v>0.5051546391752576</c:v>
                </c:pt>
                <c:pt idx="58">
                  <c:v>0.50515463917525771</c:v>
                </c:pt>
                <c:pt idx="59">
                  <c:v>0.50515463917525771</c:v>
                </c:pt>
                <c:pt idx="60">
                  <c:v>0.50515463917525771</c:v>
                </c:pt>
                <c:pt idx="61">
                  <c:v>0.50515463917525771</c:v>
                </c:pt>
                <c:pt idx="62">
                  <c:v>0.5051546391752576</c:v>
                </c:pt>
                <c:pt idx="63">
                  <c:v>0.50515463917525771</c:v>
                </c:pt>
                <c:pt idx="64">
                  <c:v>0.50515463917525771</c:v>
                </c:pt>
                <c:pt idx="65">
                  <c:v>0.50515463917525771</c:v>
                </c:pt>
                <c:pt idx="66">
                  <c:v>0.50515463917525771</c:v>
                </c:pt>
                <c:pt idx="67">
                  <c:v>0.50515463917525771</c:v>
                </c:pt>
                <c:pt idx="68">
                  <c:v>0.50515463917525771</c:v>
                </c:pt>
                <c:pt idx="69">
                  <c:v>0.50515463917525782</c:v>
                </c:pt>
                <c:pt idx="70">
                  <c:v>0.50515463917525771</c:v>
                </c:pt>
                <c:pt idx="71">
                  <c:v>0.50515463917525771</c:v>
                </c:pt>
                <c:pt idx="72">
                  <c:v>0.50515463917525771</c:v>
                </c:pt>
                <c:pt idx="73">
                  <c:v>0.50515463917525771</c:v>
                </c:pt>
                <c:pt idx="74">
                  <c:v>0.50515463917525771</c:v>
                </c:pt>
                <c:pt idx="75">
                  <c:v>0.50515463917525771</c:v>
                </c:pt>
                <c:pt idx="76">
                  <c:v>0.50515463917525771</c:v>
                </c:pt>
                <c:pt idx="77">
                  <c:v>0.50515463917525771</c:v>
                </c:pt>
                <c:pt idx="78">
                  <c:v>0.50515463917525771</c:v>
                </c:pt>
                <c:pt idx="79">
                  <c:v>0.50515463917525782</c:v>
                </c:pt>
                <c:pt idx="80">
                  <c:v>0.50515463917525771</c:v>
                </c:pt>
                <c:pt idx="81">
                  <c:v>0.50515463917525771</c:v>
                </c:pt>
                <c:pt idx="82">
                  <c:v>0.50515463917525782</c:v>
                </c:pt>
                <c:pt idx="83">
                  <c:v>0.50515463917525782</c:v>
                </c:pt>
                <c:pt idx="84">
                  <c:v>0.50515463917525782</c:v>
                </c:pt>
                <c:pt idx="85">
                  <c:v>0.50515463917525771</c:v>
                </c:pt>
                <c:pt idx="86">
                  <c:v>0.50515463917525771</c:v>
                </c:pt>
                <c:pt idx="87">
                  <c:v>0.50515463917525771</c:v>
                </c:pt>
                <c:pt idx="88">
                  <c:v>0.5051546391752576</c:v>
                </c:pt>
                <c:pt idx="89">
                  <c:v>0.50515463917525782</c:v>
                </c:pt>
                <c:pt idx="90">
                  <c:v>0.50515463917525771</c:v>
                </c:pt>
                <c:pt idx="91">
                  <c:v>0.50515463917525771</c:v>
                </c:pt>
                <c:pt idx="92">
                  <c:v>0.50515463917525771</c:v>
                </c:pt>
                <c:pt idx="93">
                  <c:v>0.50515463917525771</c:v>
                </c:pt>
                <c:pt idx="94">
                  <c:v>0.50515463917525771</c:v>
                </c:pt>
                <c:pt idx="95">
                  <c:v>0.50515463917525771</c:v>
                </c:pt>
                <c:pt idx="96">
                  <c:v>0.50515463917525782</c:v>
                </c:pt>
                <c:pt idx="97">
                  <c:v>0.50515463917525771</c:v>
                </c:pt>
                <c:pt idx="98">
                  <c:v>0.50515463917525771</c:v>
                </c:pt>
                <c:pt idx="99">
                  <c:v>0.50515463917525782</c:v>
                </c:pt>
                <c:pt idx="100">
                  <c:v>0.50515463917525771</c:v>
                </c:pt>
              </c:numCache>
            </c:numRef>
          </c:val>
          <c:smooth val="0"/>
          <c:extLst>
            <c:ext xmlns:c16="http://schemas.microsoft.com/office/drawing/2014/chart" uri="{C3380CC4-5D6E-409C-BE32-E72D297353CC}">
              <c16:uniqueId val="{00000006-BCB5-4360-8873-44D4E575F464}"/>
            </c:ext>
          </c:extLst>
        </c:ser>
        <c:ser>
          <c:idx val="7"/>
          <c:order val="7"/>
          <c:spPr>
            <a:ln w="31750">
              <a:solidFill>
                <a:srgbClr val="00B050"/>
              </a:solidFill>
            </a:ln>
          </c:spPr>
          <c:marker>
            <c:symbol val="none"/>
          </c:marker>
          <c:val>
            <c:numRef>
              <c:f>'Calculations - Single'!$AW$110:$AW$210</c:f>
              <c:numCache>
                <c:formatCode>0.000</c:formatCode>
                <c:ptCount val="101"/>
                <c:pt idx="0">
                  <c:v>1.1277777777777775E-2</c:v>
                </c:pt>
                <c:pt idx="1">
                  <c:v>1.5644955300127716E-2</c:v>
                </c:pt>
                <c:pt idx="2">
                  <c:v>3.1289910600255433E-2</c:v>
                </c:pt>
                <c:pt idx="3">
                  <c:v>4.6934865900383149E-2</c:v>
                </c:pt>
                <c:pt idx="4">
                  <c:v>6.2579821200510866E-2</c:v>
                </c:pt>
                <c:pt idx="5">
                  <c:v>7.8224776500638582E-2</c:v>
                </c:pt>
                <c:pt idx="6">
                  <c:v>9.3869731800766298E-2</c:v>
                </c:pt>
                <c:pt idx="7">
                  <c:v>0.109514687100894</c:v>
                </c:pt>
                <c:pt idx="8">
                  <c:v>0.12515964240102173</c:v>
                </c:pt>
                <c:pt idx="9">
                  <c:v>0.14080459770114942</c:v>
                </c:pt>
                <c:pt idx="10">
                  <c:v>0.15644955300127716</c:v>
                </c:pt>
                <c:pt idx="11">
                  <c:v>0.17209450830140488</c:v>
                </c:pt>
                <c:pt idx="12">
                  <c:v>0.1877394636015326</c:v>
                </c:pt>
                <c:pt idx="13">
                  <c:v>0.20338441890166029</c:v>
                </c:pt>
                <c:pt idx="14">
                  <c:v>0.219029374201788</c:v>
                </c:pt>
                <c:pt idx="15">
                  <c:v>0.23467432950191572</c:v>
                </c:pt>
                <c:pt idx="16">
                  <c:v>0.25031928480204346</c:v>
                </c:pt>
                <c:pt idx="17">
                  <c:v>0.26596424010217112</c:v>
                </c:pt>
                <c:pt idx="18">
                  <c:v>0.28160919540229884</c:v>
                </c:pt>
                <c:pt idx="19">
                  <c:v>0.29725415070242667</c:v>
                </c:pt>
                <c:pt idx="20">
                  <c:v>0.31289910600255433</c:v>
                </c:pt>
                <c:pt idx="21">
                  <c:v>0.32854406130268204</c:v>
                </c:pt>
                <c:pt idx="22">
                  <c:v>0.34418901660280976</c:v>
                </c:pt>
                <c:pt idx="23">
                  <c:v>0.35983397190293748</c:v>
                </c:pt>
                <c:pt idx="24">
                  <c:v>0.37547892720306519</c:v>
                </c:pt>
                <c:pt idx="25">
                  <c:v>0.39112388250319291</c:v>
                </c:pt>
                <c:pt idx="26">
                  <c:v>0.40070026152783744</c:v>
                </c:pt>
                <c:pt idx="27">
                  <c:v>0.40833333333333333</c:v>
                </c:pt>
                <c:pt idx="28">
                  <c:v>0.4158263130608077</c:v>
                </c:pt>
                <c:pt idx="29">
                  <c:v>0.42318664222347396</c:v>
                </c:pt>
                <c:pt idx="30">
                  <c:v>0.43042112596736265</c:v>
                </c:pt>
                <c:pt idx="31">
                  <c:v>0.43753600674875442</c:v>
                </c:pt>
                <c:pt idx="32">
                  <c:v>0.4445370273939841</c:v>
                </c:pt>
                <c:pt idx="33">
                  <c:v>0.45142948535392941</c:v>
                </c:pt>
                <c:pt idx="34">
                  <c:v>0.45821827961087197</c:v>
                </c:pt>
                <c:pt idx="35">
                  <c:v>0.46490795141853725</c:v>
                </c:pt>
                <c:pt idx="36">
                  <c:v>0.47150271983819436</c:v>
                </c:pt>
                <c:pt idx="37">
                  <c:v>0.47800651286091123</c:v>
                </c:pt>
                <c:pt idx="38">
                  <c:v>0.48442299476808731</c:v>
                </c:pt>
                <c:pt idx="39">
                  <c:v>0.49075559027148735</c:v>
                </c:pt>
                <c:pt idx="40">
                  <c:v>0.49700750588431736</c:v>
                </c:pt>
                <c:pt idx="41">
                  <c:v>0.5031817489019087</c:v>
                </c:pt>
                <c:pt idx="42">
                  <c:v>0.50928114431089755</c:v>
                </c:pt>
                <c:pt idx="43">
                  <c:v>0.51530834989669128</c:v>
                </c:pt>
                <c:pt idx="44">
                  <c:v>0.52126586977845069</c:v>
                </c:pt>
                <c:pt idx="45">
                  <c:v>0.51960049615872128</c:v>
                </c:pt>
                <c:pt idx="46">
                  <c:v>0.53145336225596529</c:v>
                </c:pt>
                <c:pt idx="47">
                  <c:v>0.5314533622559654</c:v>
                </c:pt>
                <c:pt idx="48">
                  <c:v>0.53145336225596529</c:v>
                </c:pt>
                <c:pt idx="49">
                  <c:v>0.53145336225596518</c:v>
                </c:pt>
                <c:pt idx="50">
                  <c:v>0.53145336225596529</c:v>
                </c:pt>
                <c:pt idx="51">
                  <c:v>0.53145336225596529</c:v>
                </c:pt>
                <c:pt idx="52">
                  <c:v>0.53145336225596529</c:v>
                </c:pt>
                <c:pt idx="53">
                  <c:v>0.53145336225596518</c:v>
                </c:pt>
                <c:pt idx="54">
                  <c:v>0.53145336225596529</c:v>
                </c:pt>
                <c:pt idx="55">
                  <c:v>0.53145336225596518</c:v>
                </c:pt>
                <c:pt idx="56">
                  <c:v>0.53145336225596529</c:v>
                </c:pt>
                <c:pt idx="57">
                  <c:v>0.53145336225596529</c:v>
                </c:pt>
                <c:pt idx="58">
                  <c:v>0.53145336225596529</c:v>
                </c:pt>
                <c:pt idx="59">
                  <c:v>0.53145336225596529</c:v>
                </c:pt>
                <c:pt idx="60">
                  <c:v>0.53145336225596529</c:v>
                </c:pt>
                <c:pt idx="61">
                  <c:v>0.53145336225596518</c:v>
                </c:pt>
                <c:pt idx="62">
                  <c:v>0.53145336225596529</c:v>
                </c:pt>
                <c:pt idx="63">
                  <c:v>0.53145336225596529</c:v>
                </c:pt>
                <c:pt idx="64">
                  <c:v>0.53145336225596529</c:v>
                </c:pt>
                <c:pt idx="65">
                  <c:v>0.53145336225596529</c:v>
                </c:pt>
                <c:pt idx="66">
                  <c:v>0.53145336225596529</c:v>
                </c:pt>
                <c:pt idx="67">
                  <c:v>0.53145336225596529</c:v>
                </c:pt>
                <c:pt idx="68">
                  <c:v>0.53145336225596529</c:v>
                </c:pt>
                <c:pt idx="69">
                  <c:v>0.53145336225596529</c:v>
                </c:pt>
                <c:pt idx="70">
                  <c:v>0.5314533622559654</c:v>
                </c:pt>
                <c:pt idx="71">
                  <c:v>0.53145336225596529</c:v>
                </c:pt>
                <c:pt idx="72">
                  <c:v>0.53145336225596529</c:v>
                </c:pt>
                <c:pt idx="73">
                  <c:v>0.53145336225596529</c:v>
                </c:pt>
                <c:pt idx="74">
                  <c:v>0.53145336225596529</c:v>
                </c:pt>
                <c:pt idx="75">
                  <c:v>0.53145336225596518</c:v>
                </c:pt>
                <c:pt idx="76">
                  <c:v>0.53145336225596529</c:v>
                </c:pt>
                <c:pt idx="77">
                  <c:v>0.5314533622559654</c:v>
                </c:pt>
                <c:pt idx="78">
                  <c:v>0.5314533622559654</c:v>
                </c:pt>
                <c:pt idx="79">
                  <c:v>0.53145336225596529</c:v>
                </c:pt>
                <c:pt idx="80">
                  <c:v>0.53145336225596529</c:v>
                </c:pt>
                <c:pt idx="81">
                  <c:v>0.53145336225596529</c:v>
                </c:pt>
                <c:pt idx="82">
                  <c:v>0.53145336225596518</c:v>
                </c:pt>
                <c:pt idx="83">
                  <c:v>0.53145336225596529</c:v>
                </c:pt>
                <c:pt idx="84">
                  <c:v>0.5314533622559654</c:v>
                </c:pt>
                <c:pt idx="85">
                  <c:v>0.53145336225596518</c:v>
                </c:pt>
                <c:pt idx="86">
                  <c:v>0.53145336225596529</c:v>
                </c:pt>
                <c:pt idx="87">
                  <c:v>0.53145336225596529</c:v>
                </c:pt>
                <c:pt idx="88">
                  <c:v>0.53145336225596529</c:v>
                </c:pt>
                <c:pt idx="89">
                  <c:v>0.5314533622559654</c:v>
                </c:pt>
                <c:pt idx="90">
                  <c:v>0.5314533622559654</c:v>
                </c:pt>
                <c:pt idx="91">
                  <c:v>0.5314533622559654</c:v>
                </c:pt>
                <c:pt idx="92">
                  <c:v>0.53145336225596529</c:v>
                </c:pt>
                <c:pt idx="93">
                  <c:v>0.5314533622559654</c:v>
                </c:pt>
                <c:pt idx="94">
                  <c:v>0.5314533622559654</c:v>
                </c:pt>
                <c:pt idx="95">
                  <c:v>0.53145336225596529</c:v>
                </c:pt>
                <c:pt idx="96">
                  <c:v>0.53145336225596529</c:v>
                </c:pt>
                <c:pt idx="97">
                  <c:v>0.53145336225596529</c:v>
                </c:pt>
                <c:pt idx="98">
                  <c:v>0.53145336225596518</c:v>
                </c:pt>
                <c:pt idx="99">
                  <c:v>0.53145336225596518</c:v>
                </c:pt>
                <c:pt idx="100">
                  <c:v>0.53145336225596529</c:v>
                </c:pt>
              </c:numCache>
            </c:numRef>
          </c:val>
          <c:smooth val="0"/>
          <c:extLst>
            <c:ext xmlns:c16="http://schemas.microsoft.com/office/drawing/2014/chart" uri="{C3380CC4-5D6E-409C-BE32-E72D297353CC}">
              <c16:uniqueId val="{00000007-BCB5-4360-8873-44D4E575F464}"/>
            </c:ext>
          </c:extLst>
        </c:ser>
        <c:ser>
          <c:idx val="8"/>
          <c:order val="8"/>
          <c:spPr>
            <a:ln w="31750">
              <a:solidFill>
                <a:srgbClr val="0000FF"/>
              </a:solidFill>
            </a:ln>
          </c:spPr>
          <c:marker>
            <c:symbol val="none"/>
          </c:marker>
          <c:val>
            <c:numRef>
              <c:f>'Calculations - Single'!$AW$216:$AW$316</c:f>
              <c:numCache>
                <c:formatCode>0.000</c:formatCode>
                <c:ptCount val="101"/>
                <c:pt idx="0">
                  <c:v>9.2272727272727263E-3</c:v>
                </c:pt>
                <c:pt idx="1">
                  <c:v>1.280041797283177E-2</c:v>
                </c:pt>
                <c:pt idx="2">
                  <c:v>2.5600835945663539E-2</c:v>
                </c:pt>
                <c:pt idx="3">
                  <c:v>3.8401253918495304E-2</c:v>
                </c:pt>
                <c:pt idx="4">
                  <c:v>5.1201671891327079E-2</c:v>
                </c:pt>
                <c:pt idx="5">
                  <c:v>6.4002089864158854E-2</c:v>
                </c:pt>
                <c:pt idx="6">
                  <c:v>7.6802507836990608E-2</c:v>
                </c:pt>
                <c:pt idx="7">
                  <c:v>8.9602925809822376E-2</c:v>
                </c:pt>
                <c:pt idx="8">
                  <c:v>0.10240334378265416</c:v>
                </c:pt>
                <c:pt idx="9">
                  <c:v>0.11520376175548591</c:v>
                </c:pt>
                <c:pt idx="10">
                  <c:v>0.12800417972831771</c:v>
                </c:pt>
                <c:pt idx="11">
                  <c:v>0.14080459770114945</c:v>
                </c:pt>
                <c:pt idx="12">
                  <c:v>0.15360501567398122</c:v>
                </c:pt>
                <c:pt idx="13">
                  <c:v>0.16640543364681296</c:v>
                </c:pt>
                <c:pt idx="14">
                  <c:v>0.17920585161964475</c:v>
                </c:pt>
                <c:pt idx="15">
                  <c:v>0.19200626959247652</c:v>
                </c:pt>
                <c:pt idx="16">
                  <c:v>0.20480668756530832</c:v>
                </c:pt>
                <c:pt idx="17">
                  <c:v>0.21760710553814003</c:v>
                </c:pt>
                <c:pt idx="18">
                  <c:v>0.23040752351097182</c:v>
                </c:pt>
                <c:pt idx="19">
                  <c:v>0.24320794148380365</c:v>
                </c:pt>
                <c:pt idx="20">
                  <c:v>0.25600835945663541</c:v>
                </c:pt>
                <c:pt idx="21">
                  <c:v>0.26880877742946718</c:v>
                </c:pt>
                <c:pt idx="22">
                  <c:v>0.2816091954022989</c:v>
                </c:pt>
                <c:pt idx="23">
                  <c:v>0.29440961337513066</c:v>
                </c:pt>
                <c:pt idx="24">
                  <c:v>0.30721003134796243</c:v>
                </c:pt>
                <c:pt idx="25">
                  <c:v>0.3200104493207942</c:v>
                </c:pt>
                <c:pt idx="26">
                  <c:v>0.32784566852277613</c:v>
                </c:pt>
                <c:pt idx="27">
                  <c:v>0.33409090909090916</c:v>
                </c:pt>
                <c:pt idx="28">
                  <c:v>0.34022152886793361</c:v>
                </c:pt>
                <c:pt idx="29">
                  <c:v>0.34624361636466061</c:v>
                </c:pt>
                <c:pt idx="30">
                  <c:v>0.35216273942784221</c:v>
                </c:pt>
                <c:pt idx="31">
                  <c:v>0.35798400552170817</c:v>
                </c:pt>
                <c:pt idx="32">
                  <c:v>0.36371211332235071</c:v>
                </c:pt>
                <c:pt idx="33">
                  <c:v>0.36935139710776049</c:v>
                </c:pt>
                <c:pt idx="34">
                  <c:v>0.37490586513616797</c:v>
                </c:pt>
                <c:pt idx="35">
                  <c:v>0.38037923297880316</c:v>
                </c:pt>
                <c:pt idx="36">
                  <c:v>0.38577495259488631</c:v>
                </c:pt>
                <c:pt idx="37">
                  <c:v>0.39109623779529096</c:v>
                </c:pt>
                <c:pt idx="38">
                  <c:v>0.39634608662843507</c:v>
                </c:pt>
                <c:pt idx="39">
                  <c:v>0.40152730113121698</c:v>
                </c:pt>
                <c:pt idx="40">
                  <c:v>0.40664250481444159</c:v>
                </c:pt>
                <c:pt idx="41">
                  <c:v>0.41169415819247079</c:v>
                </c:pt>
                <c:pt idx="42">
                  <c:v>0.41668457261800712</c:v>
                </c:pt>
                <c:pt idx="43">
                  <c:v>0.42161592264274755</c:v>
                </c:pt>
                <c:pt idx="44">
                  <c:v>0.42649025709145977</c:v>
                </c:pt>
                <c:pt idx="45">
                  <c:v>0.4313095090094623</c:v>
                </c:pt>
                <c:pt idx="46">
                  <c:v>0.43607550462050443</c:v>
                </c:pt>
                <c:pt idx="47">
                  <c:v>0.44078997141277115</c:v>
                </c:pt>
                <c:pt idx="48">
                  <c:v>0.44545454545454538</c:v>
                </c:pt>
                <c:pt idx="49">
                  <c:v>0.45007077802736739</c:v>
                </c:pt>
                <c:pt idx="50">
                  <c:v>0.45464014165293837</c:v>
                </c:pt>
                <c:pt idx="51">
                  <c:v>0.45916403558014851</c:v>
                </c:pt>
                <c:pt idx="52">
                  <c:v>0.46364379079018414</c:v>
                </c:pt>
                <c:pt idx="53">
                  <c:v>0.46808067457045915</c:v>
                </c:pt>
                <c:pt idx="54">
                  <c:v>0.47247589470192047</c:v>
                </c:pt>
                <c:pt idx="55">
                  <c:v>0.47120612939431794</c:v>
                </c:pt>
                <c:pt idx="56">
                  <c:v>0.46697998008542319</c:v>
                </c:pt>
                <c:pt idx="57">
                  <c:v>0.48133595284872294</c:v>
                </c:pt>
                <c:pt idx="58">
                  <c:v>0.48133595284872299</c:v>
                </c:pt>
                <c:pt idx="59">
                  <c:v>0.48133595284872299</c:v>
                </c:pt>
                <c:pt idx="60">
                  <c:v>0.48133595284872305</c:v>
                </c:pt>
                <c:pt idx="61">
                  <c:v>0.48133595284872299</c:v>
                </c:pt>
                <c:pt idx="62">
                  <c:v>0.48133595284872299</c:v>
                </c:pt>
                <c:pt idx="63">
                  <c:v>0.48133595284872305</c:v>
                </c:pt>
                <c:pt idx="64">
                  <c:v>0.48133595284872305</c:v>
                </c:pt>
                <c:pt idx="65">
                  <c:v>0.48133595284872294</c:v>
                </c:pt>
                <c:pt idx="66">
                  <c:v>0.48133595284872305</c:v>
                </c:pt>
                <c:pt idx="67">
                  <c:v>0.48133595284872299</c:v>
                </c:pt>
                <c:pt idx="68">
                  <c:v>0.48133595284872299</c:v>
                </c:pt>
                <c:pt idx="69">
                  <c:v>0.48133595284872299</c:v>
                </c:pt>
                <c:pt idx="70">
                  <c:v>0.48133595284872294</c:v>
                </c:pt>
                <c:pt idx="71">
                  <c:v>0.48133595284872305</c:v>
                </c:pt>
                <c:pt idx="72">
                  <c:v>0.48133595284872294</c:v>
                </c:pt>
                <c:pt idx="73">
                  <c:v>0.48133595284872305</c:v>
                </c:pt>
                <c:pt idx="74">
                  <c:v>0.48133595284872299</c:v>
                </c:pt>
                <c:pt idx="75">
                  <c:v>0.48133595284872299</c:v>
                </c:pt>
                <c:pt idx="76">
                  <c:v>0.48133595284872288</c:v>
                </c:pt>
                <c:pt idx="77">
                  <c:v>0.48133595284872305</c:v>
                </c:pt>
                <c:pt idx="78">
                  <c:v>0.48133595284872299</c:v>
                </c:pt>
                <c:pt idx="79">
                  <c:v>0.48133595284872305</c:v>
                </c:pt>
                <c:pt idx="80">
                  <c:v>0.48133595284872305</c:v>
                </c:pt>
                <c:pt idx="81">
                  <c:v>0.48133595284872299</c:v>
                </c:pt>
                <c:pt idx="82">
                  <c:v>0.48133595284872299</c:v>
                </c:pt>
                <c:pt idx="83">
                  <c:v>0.48133595284872299</c:v>
                </c:pt>
                <c:pt idx="84">
                  <c:v>0.4813359528487231</c:v>
                </c:pt>
                <c:pt idx="85">
                  <c:v>0.48133595284872299</c:v>
                </c:pt>
                <c:pt idx="86">
                  <c:v>0.48133595284872299</c:v>
                </c:pt>
                <c:pt idx="87">
                  <c:v>0.48133595284872288</c:v>
                </c:pt>
                <c:pt idx="88">
                  <c:v>0.48133595284872299</c:v>
                </c:pt>
                <c:pt idx="89">
                  <c:v>0.48133595284872299</c:v>
                </c:pt>
                <c:pt idx="90">
                  <c:v>0.48133595284872299</c:v>
                </c:pt>
                <c:pt idx="91">
                  <c:v>0.48133595284872299</c:v>
                </c:pt>
                <c:pt idx="92">
                  <c:v>0.48133595284872288</c:v>
                </c:pt>
                <c:pt idx="93">
                  <c:v>0.48133595284872299</c:v>
                </c:pt>
                <c:pt idx="94">
                  <c:v>0.48133595284872299</c:v>
                </c:pt>
                <c:pt idx="95">
                  <c:v>0.48133595284872299</c:v>
                </c:pt>
                <c:pt idx="96">
                  <c:v>0.48133595284872305</c:v>
                </c:pt>
                <c:pt idx="97">
                  <c:v>0.48133595284872299</c:v>
                </c:pt>
                <c:pt idx="98">
                  <c:v>0.48133595284872305</c:v>
                </c:pt>
                <c:pt idx="99">
                  <c:v>0.48133595284872305</c:v>
                </c:pt>
                <c:pt idx="100">
                  <c:v>0.48133595284872294</c:v>
                </c:pt>
              </c:numCache>
            </c:numRef>
          </c:val>
          <c:smooth val="0"/>
          <c:extLst>
            <c:ext xmlns:c16="http://schemas.microsoft.com/office/drawing/2014/chart" uri="{C3380CC4-5D6E-409C-BE32-E72D297353CC}">
              <c16:uniqueId val="{00000008-BCB5-4360-8873-44D4E575F464}"/>
            </c:ext>
          </c:extLst>
        </c:ser>
        <c:dLbls>
          <c:showLegendKey val="0"/>
          <c:showVal val="0"/>
          <c:showCatName val="0"/>
          <c:showSerName val="0"/>
          <c:showPercent val="0"/>
          <c:showBubbleSize val="0"/>
        </c:dLbls>
        <c:marker val="1"/>
        <c:smooth val="0"/>
        <c:axId val="96587136"/>
        <c:axId val="96585216"/>
      </c:lineChart>
      <c:catAx>
        <c:axId val="96581120"/>
        <c:scaling>
          <c:orientation val="minMax"/>
        </c:scaling>
        <c:delete val="0"/>
        <c:axPos val="b"/>
        <c:majorGridlines>
          <c:spPr>
            <a:ln w="15875">
              <a:solidFill>
                <a:srgbClr val="969696"/>
              </a:solidFill>
              <a:prstDash val="sysDash"/>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400">
                    <a:solidFill>
                      <a:schemeClr val="tx1"/>
                    </a:solidFill>
                    <a:latin typeface="Arial" pitchFamily="34" charset="0"/>
                    <a:cs typeface="Arial" pitchFamily="34" charset="0"/>
                  </a:rPr>
                  <a:t>Load Current (mA)</a:t>
                </a:r>
              </a:p>
            </c:rich>
          </c:tx>
          <c:layout>
            <c:manualLayout>
              <c:xMode val="edge"/>
              <c:yMode val="edge"/>
              <c:x val="0.4112305719849535"/>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200" b="1" i="0" u="none" strike="noStrike" baseline="0">
                <a:solidFill>
                  <a:schemeClr val="tx1"/>
                </a:solidFill>
                <a:latin typeface="Arial" pitchFamily="34" charset="0"/>
                <a:ea typeface="Calibri"/>
                <a:cs typeface="Arial" pitchFamily="34" charset="0"/>
              </a:defRPr>
            </a:pPr>
            <a:endParaRPr lang="ja-JP"/>
          </a:p>
        </c:txPr>
        <c:crossAx val="96583040"/>
        <c:crosses val="autoZero"/>
        <c:auto val="1"/>
        <c:lblAlgn val="ctr"/>
        <c:lblOffset val="100"/>
        <c:tickLblSkip val="20"/>
        <c:tickMarkSkip val="10"/>
        <c:noMultiLvlLbl val="0"/>
      </c:catAx>
      <c:valAx>
        <c:axId val="96583040"/>
        <c:scaling>
          <c:orientation val="minMax"/>
          <c:max val="400"/>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400" b="1">
                    <a:solidFill>
                      <a:schemeClr val="tx1"/>
                    </a:solidFill>
                    <a:latin typeface="Arial" pitchFamily="34" charset="0"/>
                    <a:cs typeface="Arial" pitchFamily="34" charset="0"/>
                  </a:rPr>
                  <a:t>Switching</a:t>
                </a:r>
                <a:r>
                  <a:rPr lang="en-US" sz="1400" b="1" baseline="0">
                    <a:solidFill>
                      <a:schemeClr val="tx1"/>
                    </a:solidFill>
                    <a:latin typeface="Arial" pitchFamily="34" charset="0"/>
                    <a:cs typeface="Arial" pitchFamily="34" charset="0"/>
                  </a:rPr>
                  <a:t> Frquency (kHz)</a:t>
                </a:r>
                <a:endParaRPr lang="en-US" sz="1400" b="1">
                  <a:solidFill>
                    <a:schemeClr val="tx1"/>
                  </a:solidFill>
                  <a:latin typeface="Arial" pitchFamily="34" charset="0"/>
                  <a:cs typeface="Arial" pitchFamily="34" charset="0"/>
                </a:endParaRPr>
              </a:p>
            </c:rich>
          </c:tx>
          <c:layout>
            <c:manualLayout>
              <c:xMode val="edge"/>
              <c:yMode val="edge"/>
              <c:x val="8.5568268367748525E-3"/>
              <c:y val="0.30050661099568304"/>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200" b="1" i="0" u="none" strike="noStrike" baseline="0">
                <a:solidFill>
                  <a:schemeClr val="tx1"/>
                </a:solidFill>
                <a:latin typeface="Arial" pitchFamily="34" charset="0"/>
                <a:ea typeface="Calibri"/>
                <a:cs typeface="Arial" pitchFamily="34" charset="0"/>
              </a:defRPr>
            </a:pPr>
            <a:endParaRPr lang="ja-JP"/>
          </a:p>
        </c:txPr>
        <c:crossAx val="96581120"/>
        <c:crossesAt val="0"/>
        <c:crossBetween val="between"/>
        <c:majorUnit val="50"/>
        <c:minorUnit val="25"/>
      </c:valAx>
      <c:valAx>
        <c:axId val="96585216"/>
        <c:scaling>
          <c:orientation val="minMax"/>
          <c:min val="0"/>
        </c:scaling>
        <c:delete val="0"/>
        <c:axPos val="r"/>
        <c:title>
          <c:tx>
            <c:rich>
              <a:bodyPr rot="-5400000" vert="horz"/>
              <a:lstStyle/>
              <a:p>
                <a:pPr>
                  <a:defRPr sz="1400" b="1"/>
                </a:pPr>
                <a:r>
                  <a:rPr lang="en-US" sz="1400" b="1"/>
                  <a:t>Duty Cycle</a:t>
                </a:r>
              </a:p>
            </c:rich>
          </c:tx>
          <c:layout>
            <c:manualLayout>
              <c:xMode val="edge"/>
              <c:yMode val="edge"/>
              <c:x val="0.96323100741439582"/>
              <c:y val="0.41073169332818471"/>
            </c:manualLayout>
          </c:layout>
          <c:overlay val="0"/>
        </c:title>
        <c:numFmt formatCode="General" sourceLinked="0"/>
        <c:majorTickMark val="in"/>
        <c:minorTickMark val="in"/>
        <c:tickLblPos val="nextTo"/>
        <c:txPr>
          <a:bodyPr/>
          <a:lstStyle/>
          <a:p>
            <a:pPr>
              <a:defRPr sz="1200" b="1"/>
            </a:pPr>
            <a:endParaRPr lang="ja-JP"/>
          </a:p>
        </c:txPr>
        <c:crossAx val="96587136"/>
        <c:crosses val="max"/>
        <c:crossBetween val="between"/>
        <c:majorUnit val="0.1"/>
        <c:minorUnit val="2.0000000000000004E-2"/>
      </c:valAx>
      <c:catAx>
        <c:axId val="96587136"/>
        <c:scaling>
          <c:orientation val="minMax"/>
        </c:scaling>
        <c:delete val="1"/>
        <c:axPos val="b"/>
        <c:majorTickMark val="out"/>
        <c:minorTickMark val="none"/>
        <c:tickLblPos val="nextTo"/>
        <c:crossAx val="96585216"/>
        <c:crosses val="autoZero"/>
        <c:auto val="1"/>
        <c:lblAlgn val="ctr"/>
        <c:lblOffset val="100"/>
        <c:noMultiLvlLbl val="0"/>
      </c:catAx>
      <c:spPr>
        <a:solidFill>
          <a:srgbClr val="FFFFFF"/>
        </a:solidFill>
        <a:ln w="25400">
          <a:noFill/>
        </a:ln>
      </c:spPr>
    </c:plotArea>
    <c:legend>
      <c:legendPos val="t"/>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ayout>
        <c:manualLayout>
          <c:xMode val="edge"/>
          <c:yMode val="edge"/>
          <c:x val="0.21364188347424315"/>
          <c:y val="3.4655227110648466E-2"/>
          <c:w val="0.56362386153343735"/>
          <c:h val="5.4335766847817754E-2"/>
        </c:manualLayout>
      </c:layout>
      <c:overlay val="0"/>
      <c:spPr>
        <a:solidFill>
          <a:srgbClr val="FFFFFF"/>
        </a:solidFill>
        <a:ln w="25400">
          <a:noFill/>
        </a:ln>
      </c:spPr>
      <c:txPr>
        <a:bodyPr/>
        <a:lstStyle/>
        <a:p>
          <a:pPr>
            <a:defRPr sz="1400" b="1"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no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3009796772281"/>
          <c:y val="9.6043598935517463E-2"/>
          <c:w val="0.79387547420256122"/>
          <c:h val="0.75083975467433728"/>
        </c:manualLayout>
      </c:layout>
      <c:lineChart>
        <c:grouping val="standard"/>
        <c:varyColors val="0"/>
        <c:ser>
          <c:idx val="9"/>
          <c:order val="6"/>
          <c:tx>
            <c:v>VIN-min</c:v>
          </c:tx>
          <c:spPr>
            <a:ln>
              <a:solidFill>
                <a:srgbClr val="00B050"/>
              </a:solidFill>
              <a:prstDash val="sys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Dual'!$AM$110:$AM$210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344.98355456637233</c:v>
                </c:pt>
                <c:pt idx="31">
                  <c:v>333.85505280616673</c:v>
                </c:pt>
                <c:pt idx="32">
                  <c:v>323.42208240597404</c:v>
                </c:pt>
                <c:pt idx="33">
                  <c:v>313.62141324215656</c:v>
                </c:pt>
                <c:pt idx="34">
                  <c:v>304.39725402915195</c:v>
                </c:pt>
                <c:pt idx="35">
                  <c:v>295.70018962831915</c:v>
                </c:pt>
                <c:pt idx="36">
                  <c:v>287.48629547197697</c:v>
                </c:pt>
                <c:pt idx="37">
                  <c:v>279.7163955943559</c:v>
                </c:pt>
                <c:pt idx="38">
                  <c:v>272.35543781555697</c:v>
                </c:pt>
                <c:pt idx="39">
                  <c:v>265.37196505105555</c:v>
                </c:pt>
                <c:pt idx="40">
                  <c:v>258.73766592477921</c:v>
                </c:pt>
                <c:pt idx="41">
                  <c:v>252.42699114612611</c:v>
                </c:pt>
                <c:pt idx="42">
                  <c:v>246.41682469026591</c:v>
                </c:pt>
                <c:pt idx="43">
                  <c:v>240.6862008602597</c:v>
                </c:pt>
                <c:pt idx="44">
                  <c:v>235.21605993161748</c:v>
                </c:pt>
                <c:pt idx="45">
                  <c:v>229.98903637758153</c:v>
                </c:pt>
                <c:pt idx="46">
                  <c:v>224.98927471719929</c:v>
                </c:pt>
                <c:pt idx="47">
                  <c:v>220.20226887215256</c:v>
                </c:pt>
                <c:pt idx="48">
                  <c:v>215.61472160398264</c:v>
                </c:pt>
                <c:pt idx="49">
                  <c:v>211.21442116308509</c:v>
                </c:pt>
                <c:pt idx="50">
                  <c:v>206.99013273982331</c:v>
                </c:pt>
                <c:pt idx="51">
                  <c:v>202.93150268610131</c:v>
                </c:pt>
                <c:pt idx="52">
                  <c:v>199.02897378829169</c:v>
                </c:pt>
                <c:pt idx="53">
                  <c:v>195.27371013190881</c:v>
                </c:pt>
                <c:pt idx="54">
                  <c:v>191.65753031465127</c:v>
                </c:pt>
                <c:pt idx="55">
                  <c:v>188.17284794529394</c:v>
                </c:pt>
                <c:pt idx="56">
                  <c:v>184.81261851769946</c:v>
                </c:pt>
                <c:pt idx="57">
                  <c:v>181.57029187703807</c:v>
                </c:pt>
                <c:pt idx="58">
                  <c:v>178.43976960329601</c:v>
                </c:pt>
                <c:pt idx="59">
                  <c:v>175.41536672866388</c:v>
                </c:pt>
                <c:pt idx="60">
                  <c:v>172.49177728318617</c:v>
                </c:pt>
                <c:pt idx="61">
                  <c:v>169.66404322936347</c:v>
                </c:pt>
                <c:pt idx="62">
                  <c:v>166.92752640308336</c:v>
                </c:pt>
                <c:pt idx="63">
                  <c:v>164.27788312684396</c:v>
                </c:pt>
                <c:pt idx="64">
                  <c:v>161.71104120298702</c:v>
                </c:pt>
                <c:pt idx="65">
                  <c:v>159.22317903063342</c:v>
                </c:pt>
                <c:pt idx="66">
                  <c:v>156.81070662107828</c:v>
                </c:pt>
                <c:pt idx="67">
                  <c:v>154.47024831330103</c:v>
                </c:pt>
                <c:pt idx="68">
                  <c:v>152.19862701457598</c:v>
                </c:pt>
                <c:pt idx="69">
                  <c:v>149.99284981146624</c:v>
                </c:pt>
                <c:pt idx="70">
                  <c:v>147.85009481415958</c:v>
                </c:pt>
                <c:pt idx="71">
                  <c:v>145.76769911255172</c:v>
                </c:pt>
                <c:pt idx="72">
                  <c:v>143.74314773598849</c:v>
                </c:pt>
                <c:pt idx="73">
                  <c:v>141.77406352042698</c:v>
                </c:pt>
                <c:pt idx="74">
                  <c:v>139.85819779717795</c:v>
                </c:pt>
                <c:pt idx="75">
                  <c:v>137.99342182654891</c:v>
                </c:pt>
                <c:pt idx="76">
                  <c:v>136.17771890777848</c:v>
                </c:pt>
                <c:pt idx="77">
                  <c:v>134.40917710378139</c:v>
                </c:pt>
                <c:pt idx="78">
                  <c:v>132.68598252552778</c:v>
                </c:pt>
                <c:pt idx="79">
                  <c:v>131.00641312647048</c:v>
                </c:pt>
                <c:pt idx="80">
                  <c:v>129.3688329623896</c:v>
                </c:pt>
                <c:pt idx="81">
                  <c:v>127.77168687643417</c:v>
                </c:pt>
                <c:pt idx="82">
                  <c:v>126.21349557306306</c:v>
                </c:pt>
                <c:pt idx="83">
                  <c:v>124.69285104808637</c:v>
                </c:pt>
                <c:pt idx="84">
                  <c:v>123.20841234513296</c:v>
                </c:pt>
                <c:pt idx="85">
                  <c:v>121.75890161166083</c:v>
                </c:pt>
                <c:pt idx="86">
                  <c:v>120.34310043012985</c:v>
                </c:pt>
                <c:pt idx="87">
                  <c:v>118.95984640219733</c:v>
                </c:pt>
                <c:pt idx="88">
                  <c:v>117.60802996580874</c:v>
                </c:pt>
                <c:pt idx="89">
                  <c:v>116.28659142686705</c:v>
                </c:pt>
                <c:pt idx="90">
                  <c:v>114.99451818879076</c:v>
                </c:pt>
                <c:pt idx="91">
                  <c:v>113.73084216473814</c:v>
                </c:pt>
                <c:pt idx="92">
                  <c:v>112.49463735859965</c:v>
                </c:pt>
                <c:pt idx="93">
                  <c:v>111.28501760205556</c:v>
                </c:pt>
                <c:pt idx="94">
                  <c:v>110.10113443607628</c:v>
                </c:pt>
                <c:pt idx="95">
                  <c:v>108.94217512622284</c:v>
                </c:pt>
                <c:pt idx="96">
                  <c:v>107.80736080199132</c:v>
                </c:pt>
                <c:pt idx="97">
                  <c:v>106.69594471124917</c:v>
                </c:pt>
                <c:pt idx="98">
                  <c:v>105.60721058154255</c:v>
                </c:pt>
                <c:pt idx="99">
                  <c:v>104.54047108071886</c:v>
                </c:pt>
                <c:pt idx="100">
                  <c:v>103.49506636991165</c:v>
                </c:pt>
              </c:numCache>
            </c:numRef>
          </c:val>
          <c:smooth val="0"/>
          <c:extLst>
            <c:ext xmlns:c16="http://schemas.microsoft.com/office/drawing/2014/chart" uri="{C3380CC4-5D6E-409C-BE32-E72D297353CC}">
              <c16:uniqueId val="{00000000-49A5-435A-9264-873746A03640}"/>
            </c:ext>
          </c:extLst>
        </c:ser>
        <c:ser>
          <c:idx val="10"/>
          <c:order val="7"/>
          <c:tx>
            <c:v>VIN-nom</c:v>
          </c:tx>
          <c:spPr>
            <a:ln w="28575">
              <a:solidFill>
                <a:srgbClr val="0000FF"/>
              </a:solidFill>
              <a:prstDash val="lg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Dual'!$AM$5:$AM$105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349.81551083155921</c:v>
                </c:pt>
                <c:pt idx="34">
                  <c:v>339.52681933651337</c:v>
                </c:pt>
                <c:pt idx="35">
                  <c:v>329.82605306975591</c:v>
                </c:pt>
                <c:pt idx="36">
                  <c:v>320.66421826226264</c:v>
                </c:pt>
                <c:pt idx="37">
                  <c:v>311.99761776868803</c:v>
                </c:pt>
                <c:pt idx="38">
                  <c:v>303.78715414319612</c:v>
                </c:pt>
                <c:pt idx="39">
                  <c:v>295.99773993439624</c:v>
                </c:pt>
                <c:pt idx="40">
                  <c:v>288.59779643603622</c:v>
                </c:pt>
                <c:pt idx="41">
                  <c:v>281.558825791255</c:v>
                </c:pt>
                <c:pt idx="42">
                  <c:v>274.85504422479659</c:v>
                </c:pt>
                <c:pt idx="43">
                  <c:v>268.4630664521269</c:v>
                </c:pt>
                <c:pt idx="44">
                  <c:v>262.36163312366949</c:v>
                </c:pt>
                <c:pt idx="45">
                  <c:v>256.53137460981009</c:v>
                </c:pt>
                <c:pt idx="46">
                  <c:v>250.95460559655336</c:v>
                </c:pt>
                <c:pt idx="47">
                  <c:v>245.61514590300965</c:v>
                </c:pt>
                <c:pt idx="48">
                  <c:v>240.49816369669696</c:v>
                </c:pt>
                <c:pt idx="49">
                  <c:v>235.59003790696849</c:v>
                </c:pt>
                <c:pt idx="50">
                  <c:v>230.87823714882904</c:v>
                </c:pt>
                <c:pt idx="51">
                  <c:v>226.35121289100891</c:v>
                </c:pt>
                <c:pt idx="52">
                  <c:v>221.99830495079718</c:v>
                </c:pt>
                <c:pt idx="53">
                  <c:v>217.80965768757454</c:v>
                </c:pt>
                <c:pt idx="54">
                  <c:v>213.77614550817506</c:v>
                </c:pt>
                <c:pt idx="55">
                  <c:v>209.88930649893553</c:v>
                </c:pt>
                <c:pt idx="56">
                  <c:v>206.14128316859737</c:v>
                </c:pt>
                <c:pt idx="57">
                  <c:v>202.5247694287975</c:v>
                </c:pt>
                <c:pt idx="58">
                  <c:v>199.03296305933543</c:v>
                </c:pt>
                <c:pt idx="59">
                  <c:v>195.65952300748233</c:v>
                </c:pt>
                <c:pt idx="60">
                  <c:v>192.39853095735756</c:v>
                </c:pt>
                <c:pt idx="61">
                  <c:v>189.24445667936811</c:v>
                </c:pt>
                <c:pt idx="62">
                  <c:v>186.19212673292668</c:v>
                </c:pt>
                <c:pt idx="63">
                  <c:v>183.2366961498644</c:v>
                </c:pt>
                <c:pt idx="64">
                  <c:v>180.37362277252276</c:v>
                </c:pt>
                <c:pt idx="65">
                  <c:v>177.59864396063779</c:v>
                </c:pt>
                <c:pt idx="66">
                  <c:v>174.9077554157796</c:v>
                </c:pt>
                <c:pt idx="67">
                  <c:v>172.29719190211128</c:v>
                </c:pt>
                <c:pt idx="68">
                  <c:v>169.76340966825668</c:v>
                </c:pt>
                <c:pt idx="69">
                  <c:v>167.3030703977023</c:v>
                </c:pt>
                <c:pt idx="70">
                  <c:v>164.91302653487796</c:v>
                </c:pt>
                <c:pt idx="71">
                  <c:v>162.59030785128812</c:v>
                </c:pt>
                <c:pt idx="72">
                  <c:v>160.33210913113132</c:v>
                </c:pt>
                <c:pt idx="73">
                  <c:v>158.13577886906106</c:v>
                </c:pt>
                <c:pt idx="74">
                  <c:v>155.99880888434402</c:v>
                </c:pt>
                <c:pt idx="75">
                  <c:v>153.91882476588603</c:v>
                </c:pt>
                <c:pt idx="76">
                  <c:v>151.89357707159806</c:v>
                </c:pt>
                <c:pt idx="77">
                  <c:v>149.92093321352536</c:v>
                </c:pt>
                <c:pt idx="78">
                  <c:v>147.99886996719812</c:v>
                </c:pt>
                <c:pt idx="79">
                  <c:v>146.1254665498918</c:v>
                </c:pt>
                <c:pt idx="80">
                  <c:v>144.29889821801811</c:v>
                </c:pt>
                <c:pt idx="81">
                  <c:v>142.51743033878338</c:v>
                </c:pt>
                <c:pt idx="82">
                  <c:v>140.7794128956275</c:v>
                </c:pt>
                <c:pt idx="83">
                  <c:v>139.0832753908609</c:v>
                </c:pt>
                <c:pt idx="84">
                  <c:v>137.42752211239829</c:v>
                </c:pt>
                <c:pt idx="85">
                  <c:v>135.81072773460534</c:v>
                </c:pt>
                <c:pt idx="86">
                  <c:v>134.23153322606345</c:v>
                </c:pt>
                <c:pt idx="87">
                  <c:v>132.68864203955695</c:v>
                </c:pt>
                <c:pt idx="88">
                  <c:v>131.18081656183475</c:v>
                </c:pt>
                <c:pt idx="89">
                  <c:v>129.70687480271297</c:v>
                </c:pt>
                <c:pt idx="90">
                  <c:v>128.26568730490504</c:v>
                </c:pt>
                <c:pt idx="91">
                  <c:v>126.8561742575984</c:v>
                </c:pt>
                <c:pt idx="92">
                  <c:v>125.47730279827668</c:v>
                </c:pt>
                <c:pt idx="93">
                  <c:v>124.12808448861782</c:v>
                </c:pt>
                <c:pt idx="94">
                  <c:v>122.80757295150482</c:v>
                </c:pt>
                <c:pt idx="95">
                  <c:v>121.51486165727846</c:v>
                </c:pt>
                <c:pt idx="96">
                  <c:v>120.24908184834848</c:v>
                </c:pt>
                <c:pt idx="97">
                  <c:v>119.00940059217994</c:v>
                </c:pt>
                <c:pt idx="98">
                  <c:v>117.79501895348425</c:v>
                </c:pt>
                <c:pt idx="99">
                  <c:v>116.60517027718639</c:v>
                </c:pt>
                <c:pt idx="100">
                  <c:v>115.43911857441452</c:v>
                </c:pt>
              </c:numCache>
            </c:numRef>
          </c:val>
          <c:smooth val="0"/>
          <c:extLst>
            <c:ext xmlns:c16="http://schemas.microsoft.com/office/drawing/2014/chart" uri="{C3380CC4-5D6E-409C-BE32-E72D297353CC}">
              <c16:uniqueId val="{00000001-49A5-435A-9264-873746A03640}"/>
            </c:ext>
          </c:extLst>
        </c:ser>
        <c:ser>
          <c:idx val="11"/>
          <c:order val="8"/>
          <c:tx>
            <c:v>VIN-max</c:v>
          </c:tx>
          <c:spPr>
            <a:ln>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Dual'!$AM$216:$AM$316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342.7556013909317</c:v>
                </c:pt>
                <c:pt idx="38">
                  <c:v>333.73571714380182</c:v>
                </c:pt>
                <c:pt idx="39">
                  <c:v>325.17839106319144</c:v>
                </c:pt>
                <c:pt idx="40">
                  <c:v>317.04893128661172</c:v>
                </c:pt>
                <c:pt idx="41">
                  <c:v>309.31603052352369</c:v>
                </c:pt>
                <c:pt idx="42">
                  <c:v>301.95136313010647</c:v>
                </c:pt>
                <c:pt idx="43">
                  <c:v>294.92923840615049</c:v>
                </c:pt>
                <c:pt idx="44">
                  <c:v>288.22630116964706</c:v>
                </c:pt>
                <c:pt idx="45">
                  <c:v>281.82127225476597</c:v>
                </c:pt>
                <c:pt idx="46">
                  <c:v>275.69472285792324</c:v>
                </c:pt>
                <c:pt idx="47">
                  <c:v>269.82887769073346</c:v>
                </c:pt>
                <c:pt idx="48">
                  <c:v>264.20744273884316</c:v>
                </c:pt>
                <c:pt idx="49">
                  <c:v>258.81545411151978</c:v>
                </c:pt>
                <c:pt idx="50">
                  <c:v>253.63914502928941</c:v>
                </c:pt>
                <c:pt idx="51">
                  <c:v>248.66582846008762</c:v>
                </c:pt>
                <c:pt idx="52">
                  <c:v>243.88379329739362</c:v>
                </c:pt>
                <c:pt idx="53">
                  <c:v>239.28221229178243</c:v>
                </c:pt>
                <c:pt idx="54">
                  <c:v>234.85106021230499</c:v>
                </c:pt>
                <c:pt idx="55">
                  <c:v>230.5810409357176</c:v>
                </c:pt>
                <c:pt idx="56">
                  <c:v>226.46352234757981</c:v>
                </c:pt>
                <c:pt idx="57">
                  <c:v>222.49047809586799</c:v>
                </c:pt>
                <c:pt idx="58">
                  <c:v>218.65443537007707</c:v>
                </c:pt>
                <c:pt idx="59">
                  <c:v>214.94842799092328</c:v>
                </c:pt>
                <c:pt idx="60">
                  <c:v>211.36595419107454</c:v>
                </c:pt>
                <c:pt idx="61">
                  <c:v>207.90093854859794</c:v>
                </c:pt>
                <c:pt idx="62">
                  <c:v>204.54769760426564</c:v>
                </c:pt>
                <c:pt idx="63">
                  <c:v>201.30090875340429</c:v>
                </c:pt>
                <c:pt idx="64">
                  <c:v>198.15558205413237</c:v>
                </c:pt>
                <c:pt idx="65">
                  <c:v>195.10703463791492</c:v>
                </c:pt>
                <c:pt idx="66">
                  <c:v>192.15086744643136</c:v>
                </c:pt>
                <c:pt idx="67">
                  <c:v>189.28294405170851</c:v>
                </c:pt>
                <c:pt idx="68">
                  <c:v>186.49937134506573</c:v>
                </c:pt>
                <c:pt idx="69">
                  <c:v>183.79648190528223</c:v>
                </c:pt>
                <c:pt idx="70">
                  <c:v>181.1708178780639</c:v>
                </c:pt>
                <c:pt idx="71">
                  <c:v>178.61911621780948</c:v>
                </c:pt>
                <c:pt idx="72">
                  <c:v>176.13829515922879</c:v>
                </c:pt>
                <c:pt idx="73">
                  <c:v>173.7254418008832</c:v>
                </c:pt>
                <c:pt idx="74">
                  <c:v>171.37780069546585</c:v>
                </c:pt>
                <c:pt idx="75">
                  <c:v>169.09276335285961</c:v>
                </c:pt>
                <c:pt idx="76">
                  <c:v>166.86785857190091</c:v>
                </c:pt>
                <c:pt idx="77">
                  <c:v>164.70074352551259</c:v>
                </c:pt>
                <c:pt idx="78">
                  <c:v>162.58919553159572</c:v>
                </c:pt>
                <c:pt idx="79">
                  <c:v>160.53110444891735</c:v>
                </c:pt>
                <c:pt idx="80">
                  <c:v>158.52446564330586</c:v>
                </c:pt>
                <c:pt idx="81">
                  <c:v>156.56737347487001</c:v>
                </c:pt>
                <c:pt idx="82">
                  <c:v>154.65801526176185</c:v>
                </c:pt>
                <c:pt idx="83">
                  <c:v>152.79466568029483</c:v>
                </c:pt>
                <c:pt idx="84">
                  <c:v>150.97568156505324</c:v>
                </c:pt>
                <c:pt idx="85">
                  <c:v>149.19949707605264</c:v>
                </c:pt>
                <c:pt idx="86">
                  <c:v>147.46461920307524</c:v>
                </c:pt>
                <c:pt idx="87">
                  <c:v>145.76962358005139</c:v>
                </c:pt>
                <c:pt idx="88">
                  <c:v>144.11315058482353</c:v>
                </c:pt>
                <c:pt idx="89">
                  <c:v>142.49390170184799</c:v>
                </c:pt>
                <c:pt idx="90">
                  <c:v>140.91063612738299</c:v>
                </c:pt>
                <c:pt idx="91">
                  <c:v>139.36216759851064</c:v>
                </c:pt>
                <c:pt idx="92">
                  <c:v>137.84736142896162</c:v>
                </c:pt>
                <c:pt idx="93">
                  <c:v>136.36513173617712</c:v>
                </c:pt>
                <c:pt idx="94">
                  <c:v>134.91443884536673</c:v>
                </c:pt>
                <c:pt idx="95">
                  <c:v>133.49428685752073</c:v>
                </c:pt>
                <c:pt idx="96">
                  <c:v>132.10372136942158</c:v>
                </c:pt>
                <c:pt idx="97">
                  <c:v>130.74182733468527</c:v>
                </c:pt>
                <c:pt idx="98">
                  <c:v>129.40772705575989</c:v>
                </c:pt>
                <c:pt idx="99">
                  <c:v>128.1005782976209</c:v>
                </c:pt>
                <c:pt idx="100">
                  <c:v>126.8195725146447</c:v>
                </c:pt>
              </c:numCache>
            </c:numRef>
          </c:val>
          <c:smooth val="0"/>
          <c:extLst>
            <c:ext xmlns:c16="http://schemas.microsoft.com/office/drawing/2014/chart" uri="{C3380CC4-5D6E-409C-BE32-E72D297353CC}">
              <c16:uniqueId val="{00000002-49A5-435A-9264-873746A03640}"/>
            </c:ext>
          </c:extLst>
        </c:ser>
        <c:ser>
          <c:idx val="12"/>
          <c:order val="9"/>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49A5-435A-9264-873746A03640}"/>
            </c:ext>
          </c:extLst>
        </c:ser>
        <c:ser>
          <c:idx val="13"/>
          <c:order val="10"/>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4-49A5-435A-9264-873746A03640}"/>
            </c:ext>
          </c:extLst>
        </c:ser>
        <c:ser>
          <c:idx val="14"/>
          <c:order val="11"/>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5-49A5-435A-9264-873746A03640}"/>
            </c:ext>
          </c:extLst>
        </c:ser>
        <c:ser>
          <c:idx val="1"/>
          <c:order val="0"/>
          <c:tx>
            <c:v>VIN-min</c:v>
          </c:tx>
          <c:spPr>
            <a:ln>
              <a:solidFill>
                <a:srgbClr val="00B050"/>
              </a:solidFill>
              <a:prstDash val="sys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Dual'!$AM$110:$AM$210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344.98355456637233</c:v>
                </c:pt>
                <c:pt idx="31">
                  <c:v>333.85505280616673</c:v>
                </c:pt>
                <c:pt idx="32">
                  <c:v>323.42208240597404</c:v>
                </c:pt>
                <c:pt idx="33">
                  <c:v>313.62141324215656</c:v>
                </c:pt>
                <c:pt idx="34">
                  <c:v>304.39725402915195</c:v>
                </c:pt>
                <c:pt idx="35">
                  <c:v>295.70018962831915</c:v>
                </c:pt>
                <c:pt idx="36">
                  <c:v>287.48629547197697</c:v>
                </c:pt>
                <c:pt idx="37">
                  <c:v>279.7163955943559</c:v>
                </c:pt>
                <c:pt idx="38">
                  <c:v>272.35543781555697</c:v>
                </c:pt>
                <c:pt idx="39">
                  <c:v>265.37196505105555</c:v>
                </c:pt>
                <c:pt idx="40">
                  <c:v>258.73766592477921</c:v>
                </c:pt>
                <c:pt idx="41">
                  <c:v>252.42699114612611</c:v>
                </c:pt>
                <c:pt idx="42">
                  <c:v>246.41682469026591</c:v>
                </c:pt>
                <c:pt idx="43">
                  <c:v>240.6862008602597</c:v>
                </c:pt>
                <c:pt idx="44">
                  <c:v>235.21605993161748</c:v>
                </c:pt>
                <c:pt idx="45">
                  <c:v>229.98903637758153</c:v>
                </c:pt>
                <c:pt idx="46">
                  <c:v>224.98927471719929</c:v>
                </c:pt>
                <c:pt idx="47">
                  <c:v>220.20226887215256</c:v>
                </c:pt>
                <c:pt idx="48">
                  <c:v>215.61472160398264</c:v>
                </c:pt>
                <c:pt idx="49">
                  <c:v>211.21442116308509</c:v>
                </c:pt>
                <c:pt idx="50">
                  <c:v>206.99013273982331</c:v>
                </c:pt>
                <c:pt idx="51">
                  <c:v>202.93150268610131</c:v>
                </c:pt>
                <c:pt idx="52">
                  <c:v>199.02897378829169</c:v>
                </c:pt>
                <c:pt idx="53">
                  <c:v>195.27371013190881</c:v>
                </c:pt>
                <c:pt idx="54">
                  <c:v>191.65753031465127</c:v>
                </c:pt>
                <c:pt idx="55">
                  <c:v>188.17284794529394</c:v>
                </c:pt>
                <c:pt idx="56">
                  <c:v>184.81261851769946</c:v>
                </c:pt>
                <c:pt idx="57">
                  <c:v>181.57029187703807</c:v>
                </c:pt>
                <c:pt idx="58">
                  <c:v>178.43976960329601</c:v>
                </c:pt>
                <c:pt idx="59">
                  <c:v>175.41536672866388</c:v>
                </c:pt>
                <c:pt idx="60">
                  <c:v>172.49177728318617</c:v>
                </c:pt>
                <c:pt idx="61">
                  <c:v>169.66404322936347</c:v>
                </c:pt>
                <c:pt idx="62">
                  <c:v>166.92752640308336</c:v>
                </c:pt>
                <c:pt idx="63">
                  <c:v>164.27788312684396</c:v>
                </c:pt>
                <c:pt idx="64">
                  <c:v>161.71104120298702</c:v>
                </c:pt>
                <c:pt idx="65">
                  <c:v>159.22317903063342</c:v>
                </c:pt>
                <c:pt idx="66">
                  <c:v>156.81070662107828</c:v>
                </c:pt>
                <c:pt idx="67">
                  <c:v>154.47024831330103</c:v>
                </c:pt>
                <c:pt idx="68">
                  <c:v>152.19862701457598</c:v>
                </c:pt>
                <c:pt idx="69">
                  <c:v>149.99284981146624</c:v>
                </c:pt>
                <c:pt idx="70">
                  <c:v>147.85009481415958</c:v>
                </c:pt>
                <c:pt idx="71">
                  <c:v>145.76769911255172</c:v>
                </c:pt>
                <c:pt idx="72">
                  <c:v>143.74314773598849</c:v>
                </c:pt>
                <c:pt idx="73">
                  <c:v>141.77406352042698</c:v>
                </c:pt>
                <c:pt idx="74">
                  <c:v>139.85819779717795</c:v>
                </c:pt>
                <c:pt idx="75">
                  <c:v>137.99342182654891</c:v>
                </c:pt>
                <c:pt idx="76">
                  <c:v>136.17771890777848</c:v>
                </c:pt>
                <c:pt idx="77">
                  <c:v>134.40917710378139</c:v>
                </c:pt>
                <c:pt idx="78">
                  <c:v>132.68598252552778</c:v>
                </c:pt>
                <c:pt idx="79">
                  <c:v>131.00641312647048</c:v>
                </c:pt>
                <c:pt idx="80">
                  <c:v>129.3688329623896</c:v>
                </c:pt>
                <c:pt idx="81">
                  <c:v>127.77168687643417</c:v>
                </c:pt>
                <c:pt idx="82">
                  <c:v>126.21349557306306</c:v>
                </c:pt>
                <c:pt idx="83">
                  <c:v>124.69285104808637</c:v>
                </c:pt>
                <c:pt idx="84">
                  <c:v>123.20841234513296</c:v>
                </c:pt>
                <c:pt idx="85">
                  <c:v>121.75890161166083</c:v>
                </c:pt>
                <c:pt idx="86">
                  <c:v>120.34310043012985</c:v>
                </c:pt>
                <c:pt idx="87">
                  <c:v>118.95984640219733</c:v>
                </c:pt>
                <c:pt idx="88">
                  <c:v>117.60802996580874</c:v>
                </c:pt>
                <c:pt idx="89">
                  <c:v>116.28659142686705</c:v>
                </c:pt>
                <c:pt idx="90">
                  <c:v>114.99451818879076</c:v>
                </c:pt>
                <c:pt idx="91">
                  <c:v>113.73084216473814</c:v>
                </c:pt>
                <c:pt idx="92">
                  <c:v>112.49463735859965</c:v>
                </c:pt>
                <c:pt idx="93">
                  <c:v>111.28501760205556</c:v>
                </c:pt>
                <c:pt idx="94">
                  <c:v>110.10113443607628</c:v>
                </c:pt>
                <c:pt idx="95">
                  <c:v>108.94217512622284</c:v>
                </c:pt>
                <c:pt idx="96">
                  <c:v>107.80736080199132</c:v>
                </c:pt>
                <c:pt idx="97">
                  <c:v>106.69594471124917</c:v>
                </c:pt>
                <c:pt idx="98">
                  <c:v>105.60721058154255</c:v>
                </c:pt>
                <c:pt idx="99">
                  <c:v>104.54047108071886</c:v>
                </c:pt>
                <c:pt idx="100">
                  <c:v>103.49506636991165</c:v>
                </c:pt>
              </c:numCache>
            </c:numRef>
          </c:val>
          <c:smooth val="0"/>
          <c:extLst>
            <c:ext xmlns:c16="http://schemas.microsoft.com/office/drawing/2014/chart" uri="{C3380CC4-5D6E-409C-BE32-E72D297353CC}">
              <c16:uniqueId val="{00000006-49A5-435A-9264-873746A03640}"/>
            </c:ext>
          </c:extLst>
        </c:ser>
        <c:ser>
          <c:idx val="0"/>
          <c:order val="1"/>
          <c:tx>
            <c:v>VIN-nom</c:v>
          </c:tx>
          <c:spPr>
            <a:ln w="28575">
              <a:solidFill>
                <a:srgbClr val="0000FF"/>
              </a:solidFill>
              <a:prstDash val="lg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Dual'!$AM$5:$AM$105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349.81551083155921</c:v>
                </c:pt>
                <c:pt idx="34">
                  <c:v>339.52681933651337</c:v>
                </c:pt>
                <c:pt idx="35">
                  <c:v>329.82605306975591</c:v>
                </c:pt>
                <c:pt idx="36">
                  <c:v>320.66421826226264</c:v>
                </c:pt>
                <c:pt idx="37">
                  <c:v>311.99761776868803</c:v>
                </c:pt>
                <c:pt idx="38">
                  <c:v>303.78715414319612</c:v>
                </c:pt>
                <c:pt idx="39">
                  <c:v>295.99773993439624</c:v>
                </c:pt>
                <c:pt idx="40">
                  <c:v>288.59779643603622</c:v>
                </c:pt>
                <c:pt idx="41">
                  <c:v>281.558825791255</c:v>
                </c:pt>
                <c:pt idx="42">
                  <c:v>274.85504422479659</c:v>
                </c:pt>
                <c:pt idx="43">
                  <c:v>268.4630664521269</c:v>
                </c:pt>
                <c:pt idx="44">
                  <c:v>262.36163312366949</c:v>
                </c:pt>
                <c:pt idx="45">
                  <c:v>256.53137460981009</c:v>
                </c:pt>
                <c:pt idx="46">
                  <c:v>250.95460559655336</c:v>
                </c:pt>
                <c:pt idx="47">
                  <c:v>245.61514590300965</c:v>
                </c:pt>
                <c:pt idx="48">
                  <c:v>240.49816369669696</c:v>
                </c:pt>
                <c:pt idx="49">
                  <c:v>235.59003790696849</c:v>
                </c:pt>
                <c:pt idx="50">
                  <c:v>230.87823714882904</c:v>
                </c:pt>
                <c:pt idx="51">
                  <c:v>226.35121289100891</c:v>
                </c:pt>
                <c:pt idx="52">
                  <c:v>221.99830495079718</c:v>
                </c:pt>
                <c:pt idx="53">
                  <c:v>217.80965768757454</c:v>
                </c:pt>
                <c:pt idx="54">
                  <c:v>213.77614550817506</c:v>
                </c:pt>
                <c:pt idx="55">
                  <c:v>209.88930649893553</c:v>
                </c:pt>
                <c:pt idx="56">
                  <c:v>206.14128316859737</c:v>
                </c:pt>
                <c:pt idx="57">
                  <c:v>202.5247694287975</c:v>
                </c:pt>
                <c:pt idx="58">
                  <c:v>199.03296305933543</c:v>
                </c:pt>
                <c:pt idx="59">
                  <c:v>195.65952300748233</c:v>
                </c:pt>
                <c:pt idx="60">
                  <c:v>192.39853095735756</c:v>
                </c:pt>
                <c:pt idx="61">
                  <c:v>189.24445667936811</c:v>
                </c:pt>
                <c:pt idx="62">
                  <c:v>186.19212673292668</c:v>
                </c:pt>
                <c:pt idx="63">
                  <c:v>183.2366961498644</c:v>
                </c:pt>
                <c:pt idx="64">
                  <c:v>180.37362277252276</c:v>
                </c:pt>
                <c:pt idx="65">
                  <c:v>177.59864396063779</c:v>
                </c:pt>
                <c:pt idx="66">
                  <c:v>174.9077554157796</c:v>
                </c:pt>
                <c:pt idx="67">
                  <c:v>172.29719190211128</c:v>
                </c:pt>
                <c:pt idx="68">
                  <c:v>169.76340966825668</c:v>
                </c:pt>
                <c:pt idx="69">
                  <c:v>167.3030703977023</c:v>
                </c:pt>
                <c:pt idx="70">
                  <c:v>164.91302653487796</c:v>
                </c:pt>
                <c:pt idx="71">
                  <c:v>162.59030785128812</c:v>
                </c:pt>
                <c:pt idx="72">
                  <c:v>160.33210913113132</c:v>
                </c:pt>
                <c:pt idx="73">
                  <c:v>158.13577886906106</c:v>
                </c:pt>
                <c:pt idx="74">
                  <c:v>155.99880888434402</c:v>
                </c:pt>
                <c:pt idx="75">
                  <c:v>153.91882476588603</c:v>
                </c:pt>
                <c:pt idx="76">
                  <c:v>151.89357707159806</c:v>
                </c:pt>
                <c:pt idx="77">
                  <c:v>149.92093321352536</c:v>
                </c:pt>
                <c:pt idx="78">
                  <c:v>147.99886996719812</c:v>
                </c:pt>
                <c:pt idx="79">
                  <c:v>146.1254665498918</c:v>
                </c:pt>
                <c:pt idx="80">
                  <c:v>144.29889821801811</c:v>
                </c:pt>
                <c:pt idx="81">
                  <c:v>142.51743033878338</c:v>
                </c:pt>
                <c:pt idx="82">
                  <c:v>140.7794128956275</c:v>
                </c:pt>
                <c:pt idx="83">
                  <c:v>139.0832753908609</c:v>
                </c:pt>
                <c:pt idx="84">
                  <c:v>137.42752211239829</c:v>
                </c:pt>
                <c:pt idx="85">
                  <c:v>135.81072773460534</c:v>
                </c:pt>
                <c:pt idx="86">
                  <c:v>134.23153322606345</c:v>
                </c:pt>
                <c:pt idx="87">
                  <c:v>132.68864203955695</c:v>
                </c:pt>
                <c:pt idx="88">
                  <c:v>131.18081656183475</c:v>
                </c:pt>
                <c:pt idx="89">
                  <c:v>129.70687480271297</c:v>
                </c:pt>
                <c:pt idx="90">
                  <c:v>128.26568730490504</c:v>
                </c:pt>
                <c:pt idx="91">
                  <c:v>126.8561742575984</c:v>
                </c:pt>
                <c:pt idx="92">
                  <c:v>125.47730279827668</c:v>
                </c:pt>
                <c:pt idx="93">
                  <c:v>124.12808448861782</c:v>
                </c:pt>
                <c:pt idx="94">
                  <c:v>122.80757295150482</c:v>
                </c:pt>
                <c:pt idx="95">
                  <c:v>121.51486165727846</c:v>
                </c:pt>
                <c:pt idx="96">
                  <c:v>120.24908184834848</c:v>
                </c:pt>
                <c:pt idx="97">
                  <c:v>119.00940059217994</c:v>
                </c:pt>
                <c:pt idx="98">
                  <c:v>117.79501895348425</c:v>
                </c:pt>
                <c:pt idx="99">
                  <c:v>116.60517027718639</c:v>
                </c:pt>
                <c:pt idx="100">
                  <c:v>115.43911857441452</c:v>
                </c:pt>
              </c:numCache>
            </c:numRef>
          </c:val>
          <c:smooth val="0"/>
          <c:extLst>
            <c:ext xmlns:c16="http://schemas.microsoft.com/office/drawing/2014/chart" uri="{C3380CC4-5D6E-409C-BE32-E72D297353CC}">
              <c16:uniqueId val="{00000007-49A5-435A-9264-873746A03640}"/>
            </c:ext>
          </c:extLst>
        </c:ser>
        <c:ser>
          <c:idx val="2"/>
          <c:order val="2"/>
          <c:tx>
            <c:v>VIN-max</c:v>
          </c:tx>
          <c:spPr>
            <a:ln>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Dual'!$AM$216:$AM$316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342.7556013909317</c:v>
                </c:pt>
                <c:pt idx="38">
                  <c:v>333.73571714380182</c:v>
                </c:pt>
                <c:pt idx="39">
                  <c:v>325.17839106319144</c:v>
                </c:pt>
                <c:pt idx="40">
                  <c:v>317.04893128661172</c:v>
                </c:pt>
                <c:pt idx="41">
                  <c:v>309.31603052352369</c:v>
                </c:pt>
                <c:pt idx="42">
                  <c:v>301.95136313010647</c:v>
                </c:pt>
                <c:pt idx="43">
                  <c:v>294.92923840615049</c:v>
                </c:pt>
                <c:pt idx="44">
                  <c:v>288.22630116964706</c:v>
                </c:pt>
                <c:pt idx="45">
                  <c:v>281.82127225476597</c:v>
                </c:pt>
                <c:pt idx="46">
                  <c:v>275.69472285792324</c:v>
                </c:pt>
                <c:pt idx="47">
                  <c:v>269.82887769073346</c:v>
                </c:pt>
                <c:pt idx="48">
                  <c:v>264.20744273884316</c:v>
                </c:pt>
                <c:pt idx="49">
                  <c:v>258.81545411151978</c:v>
                </c:pt>
                <c:pt idx="50">
                  <c:v>253.63914502928941</c:v>
                </c:pt>
                <c:pt idx="51">
                  <c:v>248.66582846008762</c:v>
                </c:pt>
                <c:pt idx="52">
                  <c:v>243.88379329739362</c:v>
                </c:pt>
                <c:pt idx="53">
                  <c:v>239.28221229178243</c:v>
                </c:pt>
                <c:pt idx="54">
                  <c:v>234.85106021230499</c:v>
                </c:pt>
                <c:pt idx="55">
                  <c:v>230.5810409357176</c:v>
                </c:pt>
                <c:pt idx="56">
                  <c:v>226.46352234757981</c:v>
                </c:pt>
                <c:pt idx="57">
                  <c:v>222.49047809586799</c:v>
                </c:pt>
                <c:pt idx="58">
                  <c:v>218.65443537007707</c:v>
                </c:pt>
                <c:pt idx="59">
                  <c:v>214.94842799092328</c:v>
                </c:pt>
                <c:pt idx="60">
                  <c:v>211.36595419107454</c:v>
                </c:pt>
                <c:pt idx="61">
                  <c:v>207.90093854859794</c:v>
                </c:pt>
                <c:pt idx="62">
                  <c:v>204.54769760426564</c:v>
                </c:pt>
                <c:pt idx="63">
                  <c:v>201.30090875340429</c:v>
                </c:pt>
                <c:pt idx="64">
                  <c:v>198.15558205413237</c:v>
                </c:pt>
                <c:pt idx="65">
                  <c:v>195.10703463791492</c:v>
                </c:pt>
                <c:pt idx="66">
                  <c:v>192.15086744643136</c:v>
                </c:pt>
                <c:pt idx="67">
                  <c:v>189.28294405170851</c:v>
                </c:pt>
                <c:pt idx="68">
                  <c:v>186.49937134506573</c:v>
                </c:pt>
                <c:pt idx="69">
                  <c:v>183.79648190528223</c:v>
                </c:pt>
                <c:pt idx="70">
                  <c:v>181.1708178780639</c:v>
                </c:pt>
                <c:pt idx="71">
                  <c:v>178.61911621780948</c:v>
                </c:pt>
                <c:pt idx="72">
                  <c:v>176.13829515922879</c:v>
                </c:pt>
                <c:pt idx="73">
                  <c:v>173.7254418008832</c:v>
                </c:pt>
                <c:pt idx="74">
                  <c:v>171.37780069546585</c:v>
                </c:pt>
                <c:pt idx="75">
                  <c:v>169.09276335285961</c:v>
                </c:pt>
                <c:pt idx="76">
                  <c:v>166.86785857190091</c:v>
                </c:pt>
                <c:pt idx="77">
                  <c:v>164.70074352551259</c:v>
                </c:pt>
                <c:pt idx="78">
                  <c:v>162.58919553159572</c:v>
                </c:pt>
                <c:pt idx="79">
                  <c:v>160.53110444891735</c:v>
                </c:pt>
                <c:pt idx="80">
                  <c:v>158.52446564330586</c:v>
                </c:pt>
                <c:pt idx="81">
                  <c:v>156.56737347487001</c:v>
                </c:pt>
                <c:pt idx="82">
                  <c:v>154.65801526176185</c:v>
                </c:pt>
                <c:pt idx="83">
                  <c:v>152.79466568029483</c:v>
                </c:pt>
                <c:pt idx="84">
                  <c:v>150.97568156505324</c:v>
                </c:pt>
                <c:pt idx="85">
                  <c:v>149.19949707605264</c:v>
                </c:pt>
                <c:pt idx="86">
                  <c:v>147.46461920307524</c:v>
                </c:pt>
                <c:pt idx="87">
                  <c:v>145.76962358005139</c:v>
                </c:pt>
                <c:pt idx="88">
                  <c:v>144.11315058482353</c:v>
                </c:pt>
                <c:pt idx="89">
                  <c:v>142.49390170184799</c:v>
                </c:pt>
                <c:pt idx="90">
                  <c:v>140.91063612738299</c:v>
                </c:pt>
                <c:pt idx="91">
                  <c:v>139.36216759851064</c:v>
                </c:pt>
                <c:pt idx="92">
                  <c:v>137.84736142896162</c:v>
                </c:pt>
                <c:pt idx="93">
                  <c:v>136.36513173617712</c:v>
                </c:pt>
                <c:pt idx="94">
                  <c:v>134.91443884536673</c:v>
                </c:pt>
                <c:pt idx="95">
                  <c:v>133.49428685752073</c:v>
                </c:pt>
                <c:pt idx="96">
                  <c:v>132.10372136942158</c:v>
                </c:pt>
                <c:pt idx="97">
                  <c:v>130.74182733468527</c:v>
                </c:pt>
                <c:pt idx="98">
                  <c:v>129.40772705575989</c:v>
                </c:pt>
                <c:pt idx="99">
                  <c:v>128.1005782976209</c:v>
                </c:pt>
                <c:pt idx="100">
                  <c:v>126.8195725146447</c:v>
                </c:pt>
              </c:numCache>
            </c:numRef>
          </c:val>
          <c:smooth val="0"/>
          <c:extLst>
            <c:ext xmlns:c16="http://schemas.microsoft.com/office/drawing/2014/chart" uri="{C3380CC4-5D6E-409C-BE32-E72D297353CC}">
              <c16:uniqueId val="{00000008-49A5-435A-9264-873746A03640}"/>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9-49A5-435A-9264-873746A03640}"/>
            </c:ext>
          </c:extLst>
        </c:ser>
        <c:ser>
          <c:idx val="4"/>
          <c:order val="4"/>
          <c:spPr>
            <a:ln>
              <a:noFill/>
            </a:ln>
          </c:spPr>
          <c:marker>
            <c:symbol val="x"/>
            <c:size val="10"/>
            <c:spPr>
              <a:pattFill prst="pct5">
                <a:fgClr>
                  <a:schemeClr val="tx1"/>
                </a:fgClr>
                <a:bgClr>
                  <a:schemeClr val="bg1"/>
                </a:bgClr>
              </a:pattFill>
              <a:ln>
                <a:solidFill>
                  <a:srgbClr val="0000FF"/>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A-49A5-435A-9264-873746A03640}"/>
            </c:ext>
          </c:extLst>
        </c:ser>
        <c:ser>
          <c:idx val="5"/>
          <c:order val="5"/>
          <c:spPr>
            <a:ln>
              <a:noFill/>
            </a:ln>
          </c:spPr>
          <c:marker>
            <c:symbol val="x"/>
            <c:size val="10"/>
            <c:spPr>
              <a:pattFill prst="pct5">
                <a:fgClr>
                  <a:schemeClr val="tx1"/>
                </a:fgClr>
                <a:bgClr>
                  <a:schemeClr val="bg1"/>
                </a:bgClr>
              </a:pattFill>
              <a:ln>
                <a:solidFill>
                  <a:srgbClr val="FF0000"/>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B-49A5-435A-9264-873746A03640}"/>
            </c:ext>
          </c:extLst>
        </c:ser>
        <c:dLbls>
          <c:showLegendKey val="0"/>
          <c:showVal val="0"/>
          <c:showCatName val="0"/>
          <c:showSerName val="0"/>
          <c:showPercent val="0"/>
          <c:showBubbleSize val="0"/>
        </c:dLbls>
        <c:smooth val="0"/>
        <c:axId val="132373504"/>
        <c:axId val="132527616"/>
      </c:lineChart>
      <c:catAx>
        <c:axId val="132373504"/>
        <c:scaling>
          <c:orientation val="minMax"/>
        </c:scaling>
        <c:delete val="0"/>
        <c:axPos val="b"/>
        <c:majorGridlines>
          <c:spPr>
            <a:ln w="15875">
              <a:solidFill>
                <a:srgbClr val="969696"/>
              </a:solidFill>
              <a:prstDash val="sysDash"/>
            </a:ln>
          </c:spPr>
        </c:majorGridlines>
        <c:title>
          <c:tx>
            <c:rich>
              <a:bodyPr/>
              <a:lstStyle/>
              <a:p>
                <a:pPr>
                  <a:defRPr sz="1100" b="1" i="0" u="none" strike="noStrike" baseline="0">
                    <a:solidFill>
                      <a:schemeClr val="tx1"/>
                    </a:solidFill>
                    <a:latin typeface="Arial" pitchFamily="34" charset="0"/>
                    <a:ea typeface="Calibri"/>
                    <a:cs typeface="Arial" pitchFamily="34" charset="0"/>
                  </a:defRPr>
                </a:pPr>
                <a:r>
                  <a:rPr lang="en-US" sz="1600" b="1" i="0" baseline="0">
                    <a:effectLst/>
                  </a:rPr>
                  <a:t>% Total Rated Output Power</a:t>
                </a:r>
                <a:endParaRPr lang="en-US" sz="1100">
                  <a:effectLst/>
                </a:endParaRPr>
              </a:p>
            </c:rich>
          </c:tx>
          <c:layout>
            <c:manualLayout>
              <c:xMode val="edge"/>
              <c:yMode val="edge"/>
              <c:x val="0.38070688614495507"/>
              <c:y val="0.93853774450069472"/>
            </c:manualLayout>
          </c:layout>
          <c:overlay val="0"/>
          <c:spPr>
            <a:noFill/>
            <a:ln w="25400">
              <a:noFill/>
            </a:ln>
          </c:spPr>
        </c:title>
        <c:numFmt formatCode="General" sourceLinked="1"/>
        <c:majorTickMark val="in"/>
        <c:minorTickMark val="in"/>
        <c:tickLblPos val="nextTo"/>
        <c:spPr>
          <a:ln w="3175">
            <a:solidFill>
              <a:schemeClr val="tx1"/>
            </a:solidFill>
            <a:prstDash val="solid"/>
          </a:ln>
        </c:spPr>
        <c:txPr>
          <a:bodyPr rot="0" vert="horz"/>
          <a:lstStyle/>
          <a:p>
            <a:pPr>
              <a:defRPr sz="1400" b="1" i="0" u="none" strike="noStrike" baseline="0">
                <a:solidFill>
                  <a:schemeClr val="tx1"/>
                </a:solidFill>
                <a:latin typeface="Arial" pitchFamily="34" charset="0"/>
                <a:ea typeface="Calibri"/>
                <a:cs typeface="Arial" pitchFamily="34" charset="0"/>
              </a:defRPr>
            </a:pPr>
            <a:endParaRPr lang="ja-JP"/>
          </a:p>
        </c:txPr>
        <c:crossAx val="132527616"/>
        <c:crosses val="autoZero"/>
        <c:auto val="1"/>
        <c:lblAlgn val="ctr"/>
        <c:lblOffset val="100"/>
        <c:tickLblSkip val="20"/>
        <c:tickMarkSkip val="10"/>
        <c:noMultiLvlLbl val="0"/>
      </c:catAx>
      <c:valAx>
        <c:axId val="132527616"/>
        <c:scaling>
          <c:orientation val="minMax"/>
          <c:max val="400"/>
          <c:min val="0"/>
        </c:scaling>
        <c:delete val="0"/>
        <c:axPos val="l"/>
        <c:majorGridlines>
          <c:spPr>
            <a:ln w="15875">
              <a:solidFill>
                <a:srgbClr val="808080"/>
              </a:solidFill>
              <a:prstDash val="solid"/>
            </a:ln>
          </c:spPr>
        </c:majorGridlines>
        <c:title>
          <c:tx>
            <c:rich>
              <a:bodyPr/>
              <a:lstStyle/>
              <a:p>
                <a:pPr>
                  <a:defRPr sz="1600" b="1" i="0" u="none" strike="noStrike" baseline="0">
                    <a:solidFill>
                      <a:schemeClr val="tx1"/>
                    </a:solidFill>
                    <a:latin typeface="Arial" pitchFamily="34" charset="0"/>
                    <a:ea typeface="Calibri"/>
                    <a:cs typeface="Arial" pitchFamily="34" charset="0"/>
                  </a:defRPr>
                </a:pPr>
                <a:r>
                  <a:rPr lang="en-US" sz="1600" b="1">
                    <a:solidFill>
                      <a:schemeClr val="tx1"/>
                    </a:solidFill>
                    <a:latin typeface="Arial" pitchFamily="34" charset="0"/>
                    <a:cs typeface="Arial" pitchFamily="34" charset="0"/>
                  </a:rPr>
                  <a:t>Switching</a:t>
                </a:r>
                <a:r>
                  <a:rPr lang="en-US" sz="1600" b="1" baseline="0">
                    <a:solidFill>
                      <a:schemeClr val="tx1"/>
                    </a:solidFill>
                    <a:latin typeface="Arial" pitchFamily="34" charset="0"/>
                    <a:cs typeface="Arial" pitchFamily="34" charset="0"/>
                  </a:rPr>
                  <a:t> Frquency (kHz)</a:t>
                </a:r>
                <a:endParaRPr lang="en-US" sz="1600" b="1">
                  <a:solidFill>
                    <a:schemeClr val="tx1"/>
                  </a:solidFill>
                  <a:latin typeface="Arial" pitchFamily="34" charset="0"/>
                  <a:cs typeface="Arial" pitchFamily="34" charset="0"/>
                </a:endParaRPr>
              </a:p>
            </c:rich>
          </c:tx>
          <c:layout>
            <c:manualLayout>
              <c:xMode val="edge"/>
              <c:yMode val="edge"/>
              <c:x val="8.5568128125503556E-3"/>
              <c:y val="0.22463146285493288"/>
            </c:manualLayout>
          </c:layout>
          <c:overlay val="0"/>
          <c:spPr>
            <a:noFill/>
            <a:ln w="25400">
              <a:noFill/>
            </a:ln>
          </c:spPr>
        </c:title>
        <c:numFmt formatCode="#,##0" sourceLinked="0"/>
        <c:majorTickMark val="in"/>
        <c:minorTickMark val="in"/>
        <c:tickLblPos val="nextTo"/>
        <c:spPr>
          <a:ln w="3175">
            <a:solidFill>
              <a:srgbClr val="000000"/>
            </a:solidFill>
            <a:prstDash val="solid"/>
          </a:ln>
        </c:spPr>
        <c:txPr>
          <a:bodyPr rot="0" vert="horz"/>
          <a:lstStyle/>
          <a:p>
            <a:pPr>
              <a:defRPr sz="1600" b="1" i="0" u="none" strike="noStrike" baseline="0">
                <a:solidFill>
                  <a:schemeClr val="tx1"/>
                </a:solidFill>
                <a:latin typeface="Arial" pitchFamily="34" charset="0"/>
                <a:ea typeface="Calibri"/>
                <a:cs typeface="Arial" pitchFamily="34" charset="0"/>
              </a:defRPr>
            </a:pPr>
            <a:endParaRPr lang="ja-JP"/>
          </a:p>
        </c:txPr>
        <c:crossAx val="132373504"/>
        <c:crossesAt val="0"/>
        <c:crossBetween val="between"/>
        <c:majorUnit val="50"/>
        <c:minorUnit val="25"/>
      </c:valAx>
      <c:spPr>
        <a:noFill/>
        <a:ln w="25400">
          <a:noFill/>
        </a:ln>
      </c:spPr>
    </c:plotArea>
    <c:legend>
      <c:legendPos val="t"/>
      <c:legendEntry>
        <c:idx val="9"/>
        <c:delete val="1"/>
      </c:legendEntry>
      <c:legendEntry>
        <c:idx val="10"/>
        <c:delete val="1"/>
      </c:legendEntry>
      <c:legendEntry>
        <c:idx val="11"/>
        <c:delete val="1"/>
      </c:legendEntry>
      <c:layout>
        <c:manualLayout>
          <c:xMode val="edge"/>
          <c:yMode val="edge"/>
          <c:x val="0.31430722044239789"/>
          <c:y val="1.5175029628150039E-2"/>
          <c:w val="0.42410841724909248"/>
          <c:h val="5.433576684781775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no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n-US"/>
              <a:t>FSW</a:t>
            </a:r>
            <a:r>
              <a:rPr lang="en-US" baseline="0"/>
              <a:t> vs. VIN</a:t>
            </a:r>
            <a:endParaRPr lang="en-US"/>
          </a:p>
        </c:rich>
      </c:tx>
      <c:layout>
        <c:manualLayout>
          <c:xMode val="edge"/>
          <c:yMode val="edge"/>
          <c:x val="0.46949559660480134"/>
          <c:y val="4.3950758924335628E-2"/>
        </c:manualLayout>
      </c:layout>
      <c:overlay val="0"/>
      <c:spPr>
        <a:noFill/>
        <a:ln w="25400">
          <a:noFill/>
        </a:ln>
      </c:spPr>
    </c:title>
    <c:autoTitleDeleted val="0"/>
    <c:plotArea>
      <c:layout>
        <c:manualLayout>
          <c:layoutTarget val="inner"/>
          <c:xMode val="edge"/>
          <c:yMode val="edge"/>
          <c:x val="0.11549893842887474"/>
          <c:y val="0.12692138023914851"/>
          <c:w val="0.81825902335456679"/>
          <c:h val="0.73598262282121851"/>
        </c:manualLayout>
      </c:layout>
      <c:scatterChart>
        <c:scatterStyle val="lineMarker"/>
        <c:varyColors val="0"/>
        <c:ser>
          <c:idx val="2"/>
          <c:order val="0"/>
          <c:tx>
            <c:strRef>
              <c:f>'Fsw vs VIN'!$M$5</c:f>
              <c:strCache>
                <c:ptCount val="1"/>
                <c:pt idx="0">
                  <c:v>Fsw-BCM (kHz) at Iout-max</c:v>
                </c:pt>
              </c:strCache>
            </c:strRef>
          </c:tx>
          <c:spPr>
            <a:ln w="25400">
              <a:solidFill>
                <a:srgbClr val="000080"/>
              </a:solidFill>
              <a:prstDash val="solid"/>
            </a:ln>
          </c:spPr>
          <c:marker>
            <c:symbol val="none"/>
          </c:marker>
          <c:xVal>
            <c:numRef>
              <c:f>'Fsw vs VIN'!$D$6:$D$106</c:f>
              <c:numCache>
                <c:formatCode>0.00</c:formatCode>
                <c:ptCount val="101"/>
                <c:pt idx="0">
                  <c:v>21.6</c:v>
                </c:pt>
                <c:pt idx="1">
                  <c:v>21.648</c:v>
                </c:pt>
                <c:pt idx="2">
                  <c:v>21.696000000000002</c:v>
                </c:pt>
                <c:pt idx="3">
                  <c:v>21.744</c:v>
                </c:pt>
                <c:pt idx="4">
                  <c:v>21.792000000000002</c:v>
                </c:pt>
                <c:pt idx="5">
                  <c:v>21.84</c:v>
                </c:pt>
                <c:pt idx="6">
                  <c:v>21.888000000000002</c:v>
                </c:pt>
                <c:pt idx="7">
                  <c:v>21.936</c:v>
                </c:pt>
                <c:pt idx="8">
                  <c:v>21.984000000000002</c:v>
                </c:pt>
                <c:pt idx="9">
                  <c:v>22.032</c:v>
                </c:pt>
                <c:pt idx="10">
                  <c:v>22.080000000000002</c:v>
                </c:pt>
                <c:pt idx="11">
                  <c:v>22.128</c:v>
                </c:pt>
                <c:pt idx="12">
                  <c:v>22.176000000000002</c:v>
                </c:pt>
                <c:pt idx="13">
                  <c:v>22.224</c:v>
                </c:pt>
                <c:pt idx="14">
                  <c:v>22.272000000000002</c:v>
                </c:pt>
                <c:pt idx="15">
                  <c:v>22.32</c:v>
                </c:pt>
                <c:pt idx="16">
                  <c:v>22.368000000000002</c:v>
                </c:pt>
                <c:pt idx="17">
                  <c:v>22.416</c:v>
                </c:pt>
                <c:pt idx="18">
                  <c:v>22.464000000000002</c:v>
                </c:pt>
                <c:pt idx="19">
                  <c:v>22.512</c:v>
                </c:pt>
                <c:pt idx="20">
                  <c:v>22.560000000000002</c:v>
                </c:pt>
                <c:pt idx="21">
                  <c:v>22.608000000000001</c:v>
                </c:pt>
                <c:pt idx="22">
                  <c:v>22.656000000000002</c:v>
                </c:pt>
                <c:pt idx="23">
                  <c:v>22.704000000000001</c:v>
                </c:pt>
                <c:pt idx="24">
                  <c:v>22.752000000000002</c:v>
                </c:pt>
                <c:pt idx="25">
                  <c:v>22.8</c:v>
                </c:pt>
                <c:pt idx="26">
                  <c:v>22.847999999999999</c:v>
                </c:pt>
                <c:pt idx="27">
                  <c:v>22.896000000000001</c:v>
                </c:pt>
                <c:pt idx="28">
                  <c:v>22.944000000000003</c:v>
                </c:pt>
                <c:pt idx="29">
                  <c:v>22.992000000000001</c:v>
                </c:pt>
                <c:pt idx="30">
                  <c:v>23.04</c:v>
                </c:pt>
                <c:pt idx="31">
                  <c:v>23.088000000000001</c:v>
                </c:pt>
                <c:pt idx="32">
                  <c:v>23.135999999999999</c:v>
                </c:pt>
                <c:pt idx="33">
                  <c:v>23.184000000000001</c:v>
                </c:pt>
                <c:pt idx="34">
                  <c:v>23.231999999999999</c:v>
                </c:pt>
                <c:pt idx="35">
                  <c:v>23.28</c:v>
                </c:pt>
                <c:pt idx="36">
                  <c:v>23.327999999999999</c:v>
                </c:pt>
                <c:pt idx="37">
                  <c:v>23.376000000000001</c:v>
                </c:pt>
                <c:pt idx="38">
                  <c:v>23.423999999999999</c:v>
                </c:pt>
                <c:pt idx="39">
                  <c:v>23.472000000000001</c:v>
                </c:pt>
                <c:pt idx="40">
                  <c:v>23.52</c:v>
                </c:pt>
                <c:pt idx="41">
                  <c:v>23.568000000000001</c:v>
                </c:pt>
                <c:pt idx="42">
                  <c:v>23.616</c:v>
                </c:pt>
                <c:pt idx="43">
                  <c:v>23.664000000000001</c:v>
                </c:pt>
                <c:pt idx="44">
                  <c:v>23.712</c:v>
                </c:pt>
                <c:pt idx="45">
                  <c:v>23.76</c:v>
                </c:pt>
                <c:pt idx="46">
                  <c:v>23.808</c:v>
                </c:pt>
                <c:pt idx="47">
                  <c:v>23.856000000000002</c:v>
                </c:pt>
                <c:pt idx="48">
                  <c:v>23.904</c:v>
                </c:pt>
                <c:pt idx="49">
                  <c:v>23.951999999999998</c:v>
                </c:pt>
                <c:pt idx="50">
                  <c:v>24</c:v>
                </c:pt>
                <c:pt idx="51">
                  <c:v>24.048000000000002</c:v>
                </c:pt>
                <c:pt idx="52">
                  <c:v>24.096</c:v>
                </c:pt>
                <c:pt idx="53">
                  <c:v>24.143999999999998</c:v>
                </c:pt>
                <c:pt idx="54">
                  <c:v>24.192</c:v>
                </c:pt>
                <c:pt idx="55">
                  <c:v>24.240000000000002</c:v>
                </c:pt>
                <c:pt idx="56">
                  <c:v>24.288</c:v>
                </c:pt>
                <c:pt idx="57">
                  <c:v>24.335999999999999</c:v>
                </c:pt>
                <c:pt idx="58">
                  <c:v>24.384</c:v>
                </c:pt>
                <c:pt idx="59">
                  <c:v>24.431999999999999</c:v>
                </c:pt>
                <c:pt idx="60">
                  <c:v>24.48</c:v>
                </c:pt>
                <c:pt idx="61">
                  <c:v>24.527999999999999</c:v>
                </c:pt>
                <c:pt idx="62">
                  <c:v>24.576000000000001</c:v>
                </c:pt>
                <c:pt idx="63">
                  <c:v>24.623999999999999</c:v>
                </c:pt>
                <c:pt idx="64">
                  <c:v>24.672000000000001</c:v>
                </c:pt>
                <c:pt idx="65">
                  <c:v>24.72</c:v>
                </c:pt>
                <c:pt idx="66">
                  <c:v>24.768000000000001</c:v>
                </c:pt>
                <c:pt idx="67">
                  <c:v>24.815999999999999</c:v>
                </c:pt>
                <c:pt idx="68">
                  <c:v>24.864000000000001</c:v>
                </c:pt>
                <c:pt idx="69">
                  <c:v>24.911999999999999</c:v>
                </c:pt>
                <c:pt idx="70">
                  <c:v>24.96</c:v>
                </c:pt>
                <c:pt idx="71">
                  <c:v>25.007999999999999</c:v>
                </c:pt>
                <c:pt idx="72">
                  <c:v>25.055999999999997</c:v>
                </c:pt>
                <c:pt idx="73">
                  <c:v>25.103999999999999</c:v>
                </c:pt>
                <c:pt idx="74">
                  <c:v>25.152000000000001</c:v>
                </c:pt>
                <c:pt idx="75">
                  <c:v>25.2</c:v>
                </c:pt>
                <c:pt idx="76">
                  <c:v>25.247999999999998</c:v>
                </c:pt>
                <c:pt idx="77">
                  <c:v>25.295999999999999</c:v>
                </c:pt>
                <c:pt idx="78">
                  <c:v>25.344000000000001</c:v>
                </c:pt>
                <c:pt idx="79">
                  <c:v>25.391999999999999</c:v>
                </c:pt>
                <c:pt idx="80">
                  <c:v>25.439999999999998</c:v>
                </c:pt>
                <c:pt idx="81">
                  <c:v>25.488</c:v>
                </c:pt>
                <c:pt idx="82">
                  <c:v>25.535999999999998</c:v>
                </c:pt>
                <c:pt idx="83">
                  <c:v>25.584</c:v>
                </c:pt>
                <c:pt idx="84">
                  <c:v>25.631999999999998</c:v>
                </c:pt>
                <c:pt idx="85">
                  <c:v>25.68</c:v>
                </c:pt>
                <c:pt idx="86">
                  <c:v>25.727999999999998</c:v>
                </c:pt>
                <c:pt idx="87">
                  <c:v>25.776</c:v>
                </c:pt>
                <c:pt idx="88">
                  <c:v>25.823999999999998</c:v>
                </c:pt>
                <c:pt idx="89">
                  <c:v>25.872</c:v>
                </c:pt>
                <c:pt idx="90">
                  <c:v>25.919999999999998</c:v>
                </c:pt>
                <c:pt idx="91">
                  <c:v>25.968</c:v>
                </c:pt>
                <c:pt idx="92">
                  <c:v>26.015999999999998</c:v>
                </c:pt>
                <c:pt idx="93">
                  <c:v>26.064</c:v>
                </c:pt>
                <c:pt idx="94">
                  <c:v>26.111999999999998</c:v>
                </c:pt>
                <c:pt idx="95">
                  <c:v>26.159999999999997</c:v>
                </c:pt>
                <c:pt idx="96">
                  <c:v>26.207999999999998</c:v>
                </c:pt>
                <c:pt idx="97">
                  <c:v>26.256</c:v>
                </c:pt>
                <c:pt idx="98">
                  <c:v>26.303999999999998</c:v>
                </c:pt>
                <c:pt idx="99">
                  <c:v>26.351999999999997</c:v>
                </c:pt>
                <c:pt idx="100">
                  <c:v>26.4</c:v>
                </c:pt>
              </c:numCache>
            </c:numRef>
          </c:xVal>
          <c:yVal>
            <c:numRef>
              <c:f>'Fsw vs VIN'!$M$6:$M$106</c:f>
              <c:numCache>
                <c:formatCode>0.0</c:formatCode>
                <c:ptCount val="101"/>
                <c:pt idx="0">
                  <c:v>155.2425995548675</c:v>
                </c:pt>
                <c:pt idx="1">
                  <c:v>155.60911957265765</c:v>
                </c:pt>
                <c:pt idx="2">
                  <c:v>155.97530873601687</c:v>
                </c:pt>
                <c:pt idx="3">
                  <c:v>156.3411667350795</c:v>
                </c:pt>
                <c:pt idx="4">
                  <c:v>156.70669326681735</c:v>
                </c:pt>
                <c:pt idx="5">
                  <c:v>157.07188803497587</c:v>
                </c:pt>
                <c:pt idx="6">
                  <c:v>157.4367507500107</c:v>
                </c:pt>
                <c:pt idx="7">
                  <c:v>157.80128112902412</c:v>
                </c:pt>
                <c:pt idx="8">
                  <c:v>158.16547889570322</c:v>
                </c:pt>
                <c:pt idx="9">
                  <c:v>158.52934378025756</c:v>
                </c:pt>
                <c:pt idx="10">
                  <c:v>158.89287551935834</c:v>
                </c:pt>
                <c:pt idx="11">
                  <c:v>159.25607385607728</c:v>
                </c:pt>
                <c:pt idx="12">
                  <c:v>159.6189385398265</c:v>
                </c:pt>
                <c:pt idx="13">
                  <c:v>159.98146932629879</c:v>
                </c:pt>
                <c:pt idx="14">
                  <c:v>160.34366597740859</c:v>
                </c:pt>
                <c:pt idx="15">
                  <c:v>160.70552826123333</c:v>
                </c:pt>
                <c:pt idx="16">
                  <c:v>161.06705595195513</c:v>
                </c:pt>
                <c:pt idx="17">
                  <c:v>161.42824882980364</c:v>
                </c:pt>
                <c:pt idx="18">
                  <c:v>161.78910668099877</c:v>
                </c:pt>
                <c:pt idx="19">
                  <c:v>162.14962929769374</c:v>
                </c:pt>
                <c:pt idx="20">
                  <c:v>162.50981647792003</c:v>
                </c:pt>
                <c:pt idx="21">
                  <c:v>162.86966802553053</c:v>
                </c:pt>
                <c:pt idx="22">
                  <c:v>163.22918375014584</c:v>
                </c:pt>
                <c:pt idx="23">
                  <c:v>163.58836346709856</c:v>
                </c:pt>
                <c:pt idx="24">
                  <c:v>163.94720699738019</c:v>
                </c:pt>
                <c:pt idx="25">
                  <c:v>164.30571416758667</c:v>
                </c:pt>
                <c:pt idx="26">
                  <c:v>164.66388480986581</c:v>
                </c:pt>
                <c:pt idx="27">
                  <c:v>165.02171876186463</c:v>
                </c:pt>
                <c:pt idx="28">
                  <c:v>165.37921586667687</c:v>
                </c:pt>
                <c:pt idx="29">
                  <c:v>165.73637597279171</c:v>
                </c:pt>
                <c:pt idx="30">
                  <c:v>166.09319893404202</c:v>
                </c:pt>
                <c:pt idx="31">
                  <c:v>166.44968460955414</c:v>
                </c:pt>
                <c:pt idx="32">
                  <c:v>166.80583286369699</c:v>
                </c:pt>
                <c:pt idx="33">
                  <c:v>167.16164356603264</c:v>
                </c:pt>
                <c:pt idx="34">
                  <c:v>167.5171165912665</c:v>
                </c:pt>
                <c:pt idx="35">
                  <c:v>167.87225181919854</c:v>
                </c:pt>
                <c:pt idx="36">
                  <c:v>168.22704913467447</c:v>
                </c:pt>
                <c:pt idx="37">
                  <c:v>168.58150842753807</c:v>
                </c:pt>
                <c:pt idx="38">
                  <c:v>168.93562959258281</c:v>
                </c:pt>
                <c:pt idx="39">
                  <c:v>169.28941252950514</c:v>
                </c:pt>
                <c:pt idx="40">
                  <c:v>169.64285714285708</c:v>
                </c:pt>
                <c:pt idx="41">
                  <c:v>169.99596334200041</c:v>
                </c:pt>
                <c:pt idx="42">
                  <c:v>170.34873104105984</c:v>
                </c:pt>
                <c:pt idx="43">
                  <c:v>170.701160158878</c:v>
                </c:pt>
                <c:pt idx="44">
                  <c:v>171.05325061896997</c:v>
                </c:pt>
                <c:pt idx="45">
                  <c:v>171.40500234947834</c:v>
                </c:pt>
                <c:pt idx="46">
                  <c:v>171.75641528312889</c:v>
                </c:pt>
                <c:pt idx="47">
                  <c:v>172.10748935718649</c:v>
                </c:pt>
                <c:pt idx="48">
                  <c:v>172.4582245134113</c:v>
                </c:pt>
                <c:pt idx="49">
                  <c:v>172.80862069801586</c:v>
                </c:pt>
                <c:pt idx="50">
                  <c:v>173.15867786162178</c:v>
                </c:pt>
                <c:pt idx="51">
                  <c:v>173.50839595921761</c:v>
                </c:pt>
                <c:pt idx="52">
                  <c:v>173.8577749501161</c:v>
                </c:pt>
                <c:pt idx="53">
                  <c:v>174.2068147979131</c:v>
                </c:pt>
                <c:pt idx="54">
                  <c:v>174.55551547044573</c:v>
                </c:pt>
                <c:pt idx="55">
                  <c:v>174.90387693975171</c:v>
                </c:pt>
                <c:pt idx="56">
                  <c:v>175.2518991820279</c:v>
                </c:pt>
                <c:pt idx="57">
                  <c:v>175.59958217759095</c:v>
                </c:pt>
                <c:pt idx="58">
                  <c:v>175.94692591083682</c:v>
                </c:pt>
                <c:pt idx="59">
                  <c:v>176.29393037020111</c:v>
                </c:pt>
                <c:pt idx="60">
                  <c:v>176.64059554811996</c:v>
                </c:pt>
                <c:pt idx="61">
                  <c:v>176.98692144099104</c:v>
                </c:pt>
                <c:pt idx="62">
                  <c:v>177.332908049135</c:v>
                </c:pt>
                <c:pt idx="63">
                  <c:v>177.67855537675726</c:v>
                </c:pt>
                <c:pt idx="64">
                  <c:v>178.02386343191003</c:v>
                </c:pt>
                <c:pt idx="65">
                  <c:v>178.36883222645471</c:v>
                </c:pt>
                <c:pt idx="66">
                  <c:v>178.7134617760249</c:v>
                </c:pt>
                <c:pt idx="67">
                  <c:v>179.05775209998905</c:v>
                </c:pt>
                <c:pt idx="68">
                  <c:v>179.40170322141427</c:v>
                </c:pt>
                <c:pt idx="69">
                  <c:v>179.74531516702967</c:v>
                </c:pt>
                <c:pt idx="70">
                  <c:v>180.08858796719079</c:v>
                </c:pt>
                <c:pt idx="71">
                  <c:v>180.43152165584371</c:v>
                </c:pt>
                <c:pt idx="72">
                  <c:v>180.7741162704898</c:v>
                </c:pt>
                <c:pt idx="73">
                  <c:v>181.11637185215068</c:v>
                </c:pt>
                <c:pt idx="74">
                  <c:v>181.45828844533347</c:v>
                </c:pt>
                <c:pt idx="75">
                  <c:v>181.79986609799633</c:v>
                </c:pt>
                <c:pt idx="76">
                  <c:v>182.1411048615148</c:v>
                </c:pt>
                <c:pt idx="77">
                  <c:v>182.48200479064707</c:v>
                </c:pt>
                <c:pt idx="78">
                  <c:v>182.82256594350147</c:v>
                </c:pt>
                <c:pt idx="79">
                  <c:v>183.16278838150259</c:v>
                </c:pt>
                <c:pt idx="80">
                  <c:v>183.5026721693585</c:v>
                </c:pt>
                <c:pt idx="81">
                  <c:v>183.8422173750283</c:v>
                </c:pt>
                <c:pt idx="82">
                  <c:v>184.18142406968937</c:v>
                </c:pt>
                <c:pt idx="83">
                  <c:v>184.52029232770576</c:v>
                </c:pt>
                <c:pt idx="84">
                  <c:v>184.85882222659617</c:v>
                </c:pt>
                <c:pt idx="85">
                  <c:v>185.19701384700207</c:v>
                </c:pt>
                <c:pt idx="86">
                  <c:v>185.53486727265727</c:v>
                </c:pt>
                <c:pt idx="87">
                  <c:v>185.87238259035595</c:v>
                </c:pt>
                <c:pt idx="88">
                  <c:v>186.20955988992296</c:v>
                </c:pt>
                <c:pt idx="89">
                  <c:v>186.54639926418261</c:v>
                </c:pt>
                <c:pt idx="90">
                  <c:v>186.88290080892887</c:v>
                </c:pt>
                <c:pt idx="91">
                  <c:v>187.21906462289542</c:v>
                </c:pt>
                <c:pt idx="92">
                  <c:v>187.55489080772571</c:v>
                </c:pt>
                <c:pt idx="93">
                  <c:v>187.8903794679442</c:v>
                </c:pt>
                <c:pt idx="94">
                  <c:v>188.22553071092659</c:v>
                </c:pt>
                <c:pt idx="95">
                  <c:v>188.56034464687127</c:v>
                </c:pt>
                <c:pt idx="96">
                  <c:v>188.89482138877054</c:v>
                </c:pt>
                <c:pt idx="97">
                  <c:v>189.22896105238232</c:v>
                </c:pt>
                <c:pt idx="98">
                  <c:v>189.562763756202</c:v>
                </c:pt>
                <c:pt idx="99">
                  <c:v>189.8962296214346</c:v>
                </c:pt>
                <c:pt idx="100">
                  <c:v>190.22935877196704</c:v>
                </c:pt>
              </c:numCache>
            </c:numRef>
          </c:yVal>
          <c:smooth val="0"/>
          <c:extLst>
            <c:ext xmlns:c16="http://schemas.microsoft.com/office/drawing/2014/chart" uri="{C3380CC4-5D6E-409C-BE32-E72D297353CC}">
              <c16:uniqueId val="{00000000-EF17-42A0-BED1-8DC5C3AAAA02}"/>
            </c:ext>
          </c:extLst>
        </c:ser>
        <c:dLbls>
          <c:showLegendKey val="0"/>
          <c:showVal val="0"/>
          <c:showCatName val="0"/>
          <c:showSerName val="0"/>
          <c:showPercent val="0"/>
          <c:showBubbleSize val="0"/>
        </c:dLbls>
        <c:axId val="132738048"/>
        <c:axId val="132752512"/>
      </c:scatterChart>
      <c:valAx>
        <c:axId val="132738048"/>
        <c:scaling>
          <c:orientation val="minMax"/>
        </c:scaling>
        <c:delete val="0"/>
        <c:axPos val="b"/>
        <c:majorGridlines/>
        <c:title>
          <c:tx>
            <c:rich>
              <a:bodyPr/>
              <a:lstStyle/>
              <a:p>
                <a:pPr>
                  <a:defRPr sz="1100" b="1" i="0" u="none" strike="noStrike" baseline="0">
                    <a:solidFill>
                      <a:srgbClr val="000000"/>
                    </a:solidFill>
                    <a:latin typeface="Arial"/>
                    <a:ea typeface="Arial"/>
                    <a:cs typeface="Arial"/>
                  </a:defRPr>
                </a:pPr>
                <a:r>
                  <a:rPr lang="en-US" sz="1100"/>
                  <a:t>VIN (V)</a:t>
                </a:r>
              </a:p>
            </c:rich>
          </c:tx>
          <c:layout>
            <c:manualLayout>
              <c:xMode val="edge"/>
              <c:yMode val="edge"/>
              <c:x val="0.48841805795509147"/>
              <c:y val="0.928122229770017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ja-JP"/>
          </a:p>
        </c:txPr>
        <c:crossAx val="132752512"/>
        <c:crosses val="autoZero"/>
        <c:crossBetween val="midCat"/>
      </c:valAx>
      <c:valAx>
        <c:axId val="132752512"/>
        <c:scaling>
          <c:orientation val="minMax"/>
        </c:scaling>
        <c:delete val="0"/>
        <c:axPos val="l"/>
        <c:majorGridlines>
          <c:spPr>
            <a:ln w="3175">
              <a:solidFill>
                <a:srgbClr val="000000"/>
              </a:solidFill>
              <a:prstDash val="solid"/>
            </a:ln>
          </c:spPr>
        </c:majorGridlines>
        <c:title>
          <c:tx>
            <c:rich>
              <a:bodyPr/>
              <a:lstStyle/>
              <a:p>
                <a:pPr>
                  <a:defRPr sz="1100" b="1" i="0" u="none" strike="noStrike" baseline="0">
                    <a:solidFill>
                      <a:srgbClr val="000000"/>
                    </a:solidFill>
                    <a:latin typeface="Arial"/>
                    <a:ea typeface="Arial"/>
                    <a:cs typeface="Arial"/>
                  </a:defRPr>
                </a:pPr>
                <a:r>
                  <a:rPr lang="en-US" sz="1100"/>
                  <a:t>FSw</a:t>
                </a:r>
                <a:r>
                  <a:rPr lang="en-US" sz="1100" baseline="0"/>
                  <a:t> (kHz)</a:t>
                </a:r>
                <a:endParaRPr lang="en-US" sz="1100"/>
              </a:p>
            </c:rich>
          </c:tx>
          <c:layout>
            <c:manualLayout>
              <c:xMode val="edge"/>
              <c:yMode val="edge"/>
              <c:x val="1.910828025477734E-2"/>
              <c:y val="0.37298429430192825"/>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ja-JP"/>
          </a:p>
        </c:txPr>
        <c:crossAx val="132738048"/>
        <c:crosses val="autoZero"/>
        <c:crossBetween val="midCat"/>
      </c:valAx>
      <c:spPr>
        <a:solidFill>
          <a:schemeClr val="bg1">
            <a:lumMod val="95000"/>
          </a:schemeClr>
        </a:solidFill>
        <a:ln w="12700">
          <a:solidFill>
            <a:srgbClr val="808080"/>
          </a:solidFill>
          <a:prstDash val="solid"/>
        </a:ln>
      </c:spPr>
    </c:plotArea>
    <c:legend>
      <c:legendPos val="r"/>
      <c:layout>
        <c:manualLayout>
          <c:xMode val="edge"/>
          <c:yMode val="edge"/>
          <c:x val="0.13445630576004464"/>
          <c:y val="0.14722888183191415"/>
          <c:w val="0.26461167950535469"/>
          <c:h val="0.1507769164159414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ja-JP"/>
    </a:p>
  </c:txPr>
  <c:printSettings>
    <c:headerFooter alignWithMargins="0"/>
    <c:pageMargins b="1" l="0.75000000000000822" r="0.75000000000000822"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en-US" sz="2000"/>
              <a:t>Breakdown of COT Efficiency Losses vs. Iout</a:t>
            </a:r>
          </a:p>
        </c:rich>
      </c:tx>
      <c:layout>
        <c:manualLayout>
          <c:xMode val="edge"/>
          <c:yMode val="edge"/>
          <c:x val="0.21668095607596721"/>
          <c:y val="3.0815438913941871E-2"/>
        </c:manualLayout>
      </c:layout>
      <c:overlay val="0"/>
      <c:spPr>
        <a:noFill/>
        <a:ln w="25400">
          <a:noFill/>
        </a:ln>
      </c:spPr>
    </c:title>
    <c:autoTitleDeleted val="0"/>
    <c:plotArea>
      <c:layout>
        <c:manualLayout>
          <c:layoutTarget val="inner"/>
          <c:xMode val="edge"/>
          <c:yMode val="edge"/>
          <c:x val="0.18496430825131774"/>
          <c:y val="0.14694417652807107"/>
          <c:w val="0.46181411156941887"/>
          <c:h val="0.69570915435856628"/>
        </c:manualLayout>
      </c:layout>
      <c:areaChart>
        <c:grouping val="percentStacked"/>
        <c:varyColors val="0"/>
        <c:ser>
          <c:idx val="1"/>
          <c:order val="0"/>
          <c:tx>
            <c:strRef>
              <c:f>Parameters!$BI$5</c:f>
              <c:strCache>
                <c:ptCount val="1"/>
                <c:pt idx="0">
                  <c:v>Cin Cout ESR %</c:v>
                </c:pt>
              </c:strCache>
            </c:strRef>
          </c:tx>
          <c:spPr>
            <a:solidFill>
              <a:srgbClr val="FFFF00"/>
            </a:solidFill>
            <a:ln w="12700">
              <a:solidFill>
                <a:srgbClr val="000000"/>
              </a:solidFill>
              <a:prstDash val="solid"/>
            </a:ln>
          </c:spPr>
          <c:val>
            <c:numRef>
              <c:f>Parameters!$BI$6:$BI$106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0-52C9-4053-A13B-5C2F8837289B}"/>
            </c:ext>
          </c:extLst>
        </c:ser>
        <c:ser>
          <c:idx val="3"/>
          <c:order val="1"/>
          <c:tx>
            <c:strRef>
              <c:f>Parameters!$BF$5</c:f>
              <c:strCache>
                <c:ptCount val="1"/>
                <c:pt idx="0">
                  <c:v>Deadtime Loss %</c:v>
                </c:pt>
              </c:strCache>
            </c:strRef>
          </c:tx>
          <c:spPr>
            <a:solidFill>
              <a:srgbClr val="666699"/>
            </a:solidFill>
            <a:ln w="12700">
              <a:solidFill>
                <a:srgbClr val="000000"/>
              </a:solidFill>
              <a:prstDash val="solid"/>
            </a:ln>
          </c:spPr>
          <c:val>
            <c:numRef>
              <c:f>Parameters!$BF$6:$BF$106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1-52C9-4053-A13B-5C2F8837289B}"/>
            </c:ext>
          </c:extLst>
        </c:ser>
        <c:ser>
          <c:idx val="6"/>
          <c:order val="2"/>
          <c:tx>
            <c:strRef>
              <c:f>Parameters!$BA$5</c:f>
              <c:strCache>
                <c:ptCount val="1"/>
                <c:pt idx="0">
                  <c:v>High-side MOSFET Rdson %</c:v>
                </c:pt>
              </c:strCache>
            </c:strRef>
          </c:tx>
          <c:spPr>
            <a:solidFill>
              <a:srgbClr val="FF0000"/>
            </a:solidFill>
            <a:ln w="12700">
              <a:solidFill>
                <a:srgbClr val="000000"/>
              </a:solidFill>
              <a:prstDash val="solid"/>
            </a:ln>
          </c:spPr>
          <c:val>
            <c:numRef>
              <c:f>Parameters!$BA$6:$BA$106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2-52C9-4053-A13B-5C2F8837289B}"/>
            </c:ext>
          </c:extLst>
        </c:ser>
        <c:ser>
          <c:idx val="7"/>
          <c:order val="3"/>
          <c:tx>
            <c:strRef>
              <c:f>Parameters!$BB$5</c:f>
              <c:strCache>
                <c:ptCount val="1"/>
                <c:pt idx="0">
                  <c:v>Low-side MOSFET Rdson %</c:v>
                </c:pt>
              </c:strCache>
            </c:strRef>
          </c:tx>
          <c:spPr>
            <a:solidFill>
              <a:srgbClr val="FF6600"/>
            </a:solidFill>
            <a:ln w="12700">
              <a:solidFill>
                <a:srgbClr val="000000"/>
              </a:solidFill>
              <a:prstDash val="solid"/>
            </a:ln>
          </c:spPr>
          <c:val>
            <c:numRef>
              <c:f>Parameters!$BB$6:$BB$106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3-52C9-4053-A13B-5C2F8837289B}"/>
            </c:ext>
          </c:extLst>
        </c:ser>
        <c:ser>
          <c:idx val="4"/>
          <c:order val="4"/>
          <c:tx>
            <c:strRef>
              <c:f>Parameters!$BH$5</c:f>
              <c:strCache>
                <c:ptCount val="1"/>
                <c:pt idx="0">
                  <c:v>Inductor Core Loss %</c:v>
                </c:pt>
              </c:strCache>
            </c:strRef>
          </c:tx>
          <c:spPr>
            <a:solidFill>
              <a:srgbClr val="99CC00"/>
            </a:solidFill>
            <a:ln w="12700">
              <a:solidFill>
                <a:srgbClr val="000000"/>
              </a:solidFill>
              <a:prstDash val="solid"/>
            </a:ln>
          </c:spPr>
          <c:val>
            <c:numRef>
              <c:f>Parameters!$BH$6:$BH$106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4-52C9-4053-A13B-5C2F8837289B}"/>
            </c:ext>
          </c:extLst>
        </c:ser>
        <c:ser>
          <c:idx val="8"/>
          <c:order val="5"/>
          <c:tx>
            <c:strRef>
              <c:f>Parameters!$BG$5</c:f>
              <c:strCache>
                <c:ptCount val="1"/>
                <c:pt idx="0">
                  <c:v>Inductor Cu Loss %</c:v>
                </c:pt>
              </c:strCache>
            </c:strRef>
          </c:tx>
          <c:spPr>
            <a:solidFill>
              <a:srgbClr val="00FF00"/>
            </a:solidFill>
            <a:ln w="12700">
              <a:solidFill>
                <a:srgbClr val="000000"/>
              </a:solidFill>
              <a:prstDash val="solid"/>
            </a:ln>
          </c:spPr>
          <c:val>
            <c:numRef>
              <c:f>Parameters!$BG$6:$BG$106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5-52C9-4053-A13B-5C2F8837289B}"/>
            </c:ext>
          </c:extLst>
        </c:ser>
        <c:ser>
          <c:idx val="2"/>
          <c:order val="6"/>
          <c:tx>
            <c:strRef>
              <c:f>Parameters!$BC$5</c:f>
              <c:strCache>
                <c:ptCount val="1"/>
                <c:pt idx="0">
                  <c:v>Gate Drive (Qg) Loss from Vin %</c:v>
                </c:pt>
              </c:strCache>
            </c:strRef>
          </c:tx>
          <c:spPr>
            <a:solidFill>
              <a:srgbClr val="00FFFF"/>
            </a:solidFill>
            <a:ln w="12700">
              <a:solidFill>
                <a:srgbClr val="000000"/>
              </a:solidFill>
              <a:prstDash val="solid"/>
            </a:ln>
          </c:spPr>
          <c:val>
            <c:numRef>
              <c:f>Parameters!$BC$6:$BC$106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6-52C9-4053-A13B-5C2F8837289B}"/>
            </c:ext>
          </c:extLst>
        </c:ser>
        <c:ser>
          <c:idx val="5"/>
          <c:order val="7"/>
          <c:tx>
            <c:strRef>
              <c:f>Parameters!$BD$5</c:f>
              <c:strCache>
                <c:ptCount val="1"/>
                <c:pt idx="0">
                  <c:v>High-side MOSFET Switching Loss %</c:v>
                </c:pt>
              </c:strCache>
            </c:strRef>
          </c:tx>
          <c:spPr>
            <a:solidFill>
              <a:srgbClr val="0000FF"/>
            </a:solidFill>
            <a:ln w="12700">
              <a:solidFill>
                <a:srgbClr val="000000"/>
              </a:solidFill>
              <a:prstDash val="solid"/>
            </a:ln>
          </c:spPr>
          <c:val>
            <c:numRef>
              <c:f>Parameters!$BD$6:$BD$106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7-52C9-4053-A13B-5C2F8837289B}"/>
            </c:ext>
          </c:extLst>
        </c:ser>
        <c:ser>
          <c:idx val="10"/>
          <c:order val="8"/>
          <c:tx>
            <c:strRef>
              <c:f>Parameters!$BE$5</c:f>
              <c:strCache>
                <c:ptCount val="1"/>
                <c:pt idx="0">
                  <c:v>Reverse Recovery &amp; Leakage Loss %</c:v>
                </c:pt>
              </c:strCache>
            </c:strRef>
          </c:tx>
          <c:spPr>
            <a:solidFill>
              <a:srgbClr val="FFFF00"/>
            </a:solidFill>
            <a:ln w="12700">
              <a:solidFill>
                <a:srgbClr val="000000"/>
              </a:solidFill>
              <a:prstDash val="solid"/>
            </a:ln>
          </c:spPr>
          <c:val>
            <c:numRef>
              <c:f>Parameters!$BE$6:$BE$106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8-52C9-4053-A13B-5C2F8837289B}"/>
            </c:ext>
          </c:extLst>
        </c:ser>
        <c:ser>
          <c:idx val="0"/>
          <c:order val="9"/>
          <c:tx>
            <c:strRef>
              <c:f>Parameters!$BJ$5</c:f>
              <c:strCache>
                <c:ptCount val="1"/>
                <c:pt idx="0">
                  <c:v>Quiescent Current Loss %</c:v>
                </c:pt>
              </c:strCache>
            </c:strRef>
          </c:tx>
          <c:val>
            <c:numRef>
              <c:f>Parameters!$BJ$6:$BJ$106</c:f>
              <c:numCache>
                <c:formatCode>0.00%</c:formatCode>
                <c:ptCount val="101"/>
                <c:pt idx="0">
                  <c:v>0</c:v>
                </c:pt>
                <c:pt idx="1">
                  <c:v>0</c:v>
                </c:pt>
                <c:pt idx="2">
                  <c:v>0</c:v>
                </c:pt>
                <c:pt idx="3">
                  <c:v>0</c:v>
                </c:pt>
                <c:pt idx="100">
                  <c:v>0</c:v>
                </c:pt>
              </c:numCache>
            </c:numRef>
          </c:val>
          <c:extLst>
            <c:ext xmlns:c16="http://schemas.microsoft.com/office/drawing/2014/chart" uri="{C3380CC4-5D6E-409C-BE32-E72D297353CC}">
              <c16:uniqueId val="{00000009-52C9-4053-A13B-5C2F8837289B}"/>
            </c:ext>
          </c:extLst>
        </c:ser>
        <c:ser>
          <c:idx val="9"/>
          <c:order val="10"/>
          <c:tx>
            <c:strRef>
              <c:f>Parameters!$BL$5</c:f>
              <c:strCache>
                <c:ptCount val="1"/>
                <c:pt idx="0">
                  <c:v>Overall Eff %</c:v>
                </c:pt>
              </c:strCache>
            </c:strRef>
          </c:tx>
          <c:spPr>
            <a:solidFill>
              <a:srgbClr val="000000"/>
            </a:solidFill>
            <a:ln w="12700">
              <a:solidFill>
                <a:srgbClr val="000000"/>
              </a:solidFill>
              <a:prstDash val="solid"/>
            </a:ln>
          </c:spPr>
          <c:val>
            <c:numRef>
              <c:f>Parameters!$BL$6:$BL$106</c:f>
              <c:numCache>
                <c:formatCode>0.00%</c:formatCode>
                <c:ptCount val="101"/>
                <c:pt idx="0">
                  <c:v>1</c:v>
                </c:pt>
                <c:pt idx="1">
                  <c:v>1</c:v>
                </c:pt>
                <c:pt idx="2">
                  <c:v>1</c:v>
                </c:pt>
                <c:pt idx="3">
                  <c:v>1</c:v>
                </c:pt>
                <c:pt idx="100">
                  <c:v>1</c:v>
                </c:pt>
              </c:numCache>
            </c:numRef>
          </c:val>
          <c:extLst>
            <c:ext xmlns:c16="http://schemas.microsoft.com/office/drawing/2014/chart" uri="{C3380CC4-5D6E-409C-BE32-E72D297353CC}">
              <c16:uniqueId val="{0000000A-52C9-4053-A13B-5C2F8837289B}"/>
            </c:ext>
          </c:extLst>
        </c:ser>
        <c:dLbls>
          <c:showLegendKey val="0"/>
          <c:showVal val="0"/>
          <c:showCatName val="0"/>
          <c:showSerName val="0"/>
          <c:showPercent val="0"/>
          <c:showBubbleSize val="0"/>
        </c:dLbls>
        <c:axId val="133884544"/>
        <c:axId val="133915392"/>
      </c:areaChart>
      <c:catAx>
        <c:axId val="133884544"/>
        <c:scaling>
          <c:orientation val="minMax"/>
        </c:scaling>
        <c:delete val="0"/>
        <c:axPos val="b"/>
        <c:majorGridlines>
          <c:spPr>
            <a:ln w="3175">
              <a:solidFill>
                <a:srgbClr val="000000"/>
              </a:solidFill>
              <a:prstDash val="solid"/>
            </a:ln>
          </c:spPr>
        </c:majorGridlines>
        <c:title>
          <c:tx>
            <c:rich>
              <a:bodyPr/>
              <a:lstStyle/>
              <a:p>
                <a:pPr>
                  <a:defRPr sz="1725" b="1" i="0" u="none" strike="noStrike" baseline="0">
                    <a:solidFill>
                      <a:srgbClr val="000000"/>
                    </a:solidFill>
                    <a:latin typeface="Arial"/>
                    <a:ea typeface="Arial"/>
                    <a:cs typeface="Arial"/>
                  </a:defRPr>
                </a:pPr>
                <a:r>
                  <a:rPr lang="en-US"/>
                  <a:t>I</a:t>
                </a:r>
                <a:r>
                  <a:rPr lang="en-US" baseline="-25000"/>
                  <a:t>OUT</a:t>
                </a:r>
                <a:r>
                  <a:rPr lang="en-US"/>
                  <a:t> (log)</a:t>
                </a:r>
              </a:p>
            </c:rich>
          </c:tx>
          <c:layout>
            <c:manualLayout>
              <c:xMode val="edge"/>
              <c:yMode val="edge"/>
              <c:x val="0.37238179041606823"/>
              <c:y val="0.89147900498075083"/>
            </c:manualLayout>
          </c:layout>
          <c:overlay val="0"/>
          <c:spPr>
            <a:noFill/>
            <a:ln w="25400">
              <a:noFill/>
            </a:ln>
          </c:spPr>
        </c:title>
        <c:numFmt formatCode="#,##0" sourceLinked="0"/>
        <c:majorTickMark val="out"/>
        <c:minorTickMark val="none"/>
        <c:tickLblPos val="none"/>
        <c:spPr>
          <a:ln w="3175">
            <a:solidFill>
              <a:srgbClr val="000000"/>
            </a:solidFill>
            <a:prstDash val="solid"/>
          </a:ln>
        </c:spPr>
        <c:txPr>
          <a:bodyPr rot="-5400000" vert="horz"/>
          <a:lstStyle/>
          <a:p>
            <a:pPr>
              <a:defRPr sz="1725" b="0" i="0" u="none" strike="noStrike" baseline="0">
                <a:solidFill>
                  <a:srgbClr val="000000"/>
                </a:solidFill>
                <a:latin typeface="Arial"/>
                <a:ea typeface="Arial"/>
                <a:cs typeface="Arial"/>
              </a:defRPr>
            </a:pPr>
            <a:endParaRPr lang="ja-JP"/>
          </a:p>
        </c:txPr>
        <c:crossAx val="133915392"/>
        <c:crosses val="autoZero"/>
        <c:auto val="1"/>
        <c:lblAlgn val="ctr"/>
        <c:lblOffset val="100"/>
        <c:tickMarkSkip val="1"/>
        <c:noMultiLvlLbl val="0"/>
      </c:catAx>
      <c:valAx>
        <c:axId val="133915392"/>
        <c:scaling>
          <c:orientation val="minMax"/>
          <c:max val="0.2"/>
          <c:min val="0"/>
        </c:scaling>
        <c:delete val="0"/>
        <c:axPos val="l"/>
        <c:majorGridlines>
          <c:spPr>
            <a:ln w="3175">
              <a:solidFill>
                <a:srgbClr val="000000"/>
              </a:solidFill>
              <a:prstDash val="solid"/>
            </a:ln>
          </c:spPr>
        </c:majorGridlines>
        <c:minorGridlines/>
        <c:title>
          <c:tx>
            <c:rich>
              <a:bodyPr/>
              <a:lstStyle/>
              <a:p>
                <a:pPr>
                  <a:defRPr sz="1725" b="1" i="0" u="none" strike="noStrike" baseline="0">
                    <a:solidFill>
                      <a:srgbClr val="000000"/>
                    </a:solidFill>
                    <a:latin typeface="Arial"/>
                    <a:ea typeface="Arial"/>
                    <a:cs typeface="Arial"/>
                  </a:defRPr>
                </a:pPr>
                <a:r>
                  <a:rPr lang="en-US"/>
                  <a:t>Efficiency (%)</a:t>
                </a:r>
              </a:p>
            </c:rich>
          </c:tx>
          <c:layout>
            <c:manualLayout>
              <c:xMode val="edge"/>
              <c:yMode val="edge"/>
              <c:x val="8.9796428919729693E-2"/>
              <c:y val="0.345670516499620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25" b="0" i="0" u="none" strike="noStrike" baseline="0">
                <a:solidFill>
                  <a:srgbClr val="000000"/>
                </a:solidFill>
                <a:latin typeface="Arial"/>
                <a:ea typeface="Arial"/>
                <a:cs typeface="Arial"/>
              </a:defRPr>
            </a:pPr>
            <a:endParaRPr lang="ja-JP"/>
          </a:p>
        </c:txPr>
        <c:crossAx val="133884544"/>
        <c:crosses val="autoZero"/>
        <c:crossBetween val="midCat"/>
        <c:majorUnit val="5.000000000000001E-2"/>
        <c:minorUnit val="2.5000000000000005E-2"/>
      </c:valAx>
      <c:spPr>
        <a:solidFill>
          <a:srgbClr val="C0C0C0"/>
        </a:solidFill>
        <a:ln w="12700">
          <a:solidFill>
            <a:srgbClr val="808080"/>
          </a:solidFill>
          <a:prstDash val="solid"/>
        </a:ln>
      </c:spPr>
    </c:plotArea>
    <c:legend>
      <c:legendPos val="r"/>
      <c:layout>
        <c:manualLayout>
          <c:xMode val="edge"/>
          <c:yMode val="edge"/>
          <c:x val="0.70666185810743165"/>
          <c:y val="9.3155590739667823E-2"/>
          <c:w val="0.26010897805044486"/>
          <c:h val="0.85864261581306134"/>
        </c:manualLayout>
      </c:layout>
      <c:overlay val="0"/>
      <c:spPr>
        <a:solidFill>
          <a:srgbClr val="FFFFFF"/>
        </a:solidFill>
        <a:ln w="3175">
          <a:solidFill>
            <a:srgbClr val="000000"/>
          </a:solidFill>
          <a:prstDash val="solid"/>
        </a:ln>
      </c:spPr>
      <c:txPr>
        <a:bodyPr/>
        <a:lstStyle/>
        <a:p>
          <a:pPr>
            <a:defRPr sz="1335" b="0" i="0" u="none" strike="noStrike" baseline="0">
              <a:solidFill>
                <a:srgbClr val="000000"/>
              </a:solidFill>
              <a:latin typeface="Arial"/>
              <a:ea typeface="Arial"/>
              <a:cs typeface="Arial"/>
            </a:defRPr>
          </a:pPr>
          <a:endParaRPr lang="ja-JP"/>
        </a:p>
      </c:txPr>
    </c:legend>
    <c:plotVisOnly val="1"/>
    <c:dispBlanksAs val="zero"/>
    <c:showDLblsOverMax val="0"/>
  </c:chart>
  <c:spPr>
    <a:solidFill>
      <a:srgbClr val="FFFFFF"/>
    </a:solidFill>
    <a:ln w="3175">
      <a:solidFill>
        <a:srgbClr val="000000"/>
      </a:solidFill>
      <a:prstDash val="solid"/>
    </a:ln>
  </c:spPr>
  <c:txPr>
    <a:bodyPr/>
    <a:lstStyle/>
    <a:p>
      <a:pPr>
        <a:defRPr sz="1725" b="0" i="0" u="none" strike="noStrike" baseline="0">
          <a:solidFill>
            <a:srgbClr val="000000"/>
          </a:solidFill>
          <a:latin typeface="Arial"/>
          <a:ea typeface="Arial"/>
          <a:cs typeface="Arial"/>
        </a:defRPr>
      </a:pPr>
      <a:endParaRPr lang="ja-JP"/>
    </a:p>
  </c:txPr>
  <c:printSettings>
    <c:headerFooter alignWithMargins="0"/>
    <c:pageMargins b="1" l="0.75000000000000189" r="0.75000000000000189"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t>Breakdown of </a:t>
            </a:r>
            <a:r>
              <a:rPr lang="en-US" sz="1800" b="1" i="0" baseline="0">
                <a:solidFill>
                  <a:srgbClr val="FF0000"/>
                </a:solidFill>
              </a:rPr>
              <a:t>COT</a:t>
            </a:r>
            <a:r>
              <a:rPr lang="en-US" sz="1800" b="1" i="0" baseline="0"/>
              <a:t> Efficiency Losses (</a:t>
            </a:r>
            <a:r>
              <a:rPr lang="en-US" sz="1800" b="1" i="0" u="none" strike="noStrike" baseline="0"/>
              <a:t>I</a:t>
            </a:r>
            <a:r>
              <a:rPr lang="en-US" sz="1800" b="1" i="0" u="none" strike="noStrike" baseline="-25000"/>
              <a:t>OUT</a:t>
            </a:r>
            <a:r>
              <a:rPr lang="en-US" sz="1800" b="1" i="0" u="none" strike="noStrike" baseline="0"/>
              <a:t> = </a:t>
            </a:r>
            <a:r>
              <a:rPr lang="en-US" sz="1800" b="1" i="0" baseline="0"/>
              <a:t>100mA)</a:t>
            </a:r>
            <a:endParaRPr lang="en-US" sz="1800"/>
          </a:p>
        </c:rich>
      </c:tx>
      <c:layout>
        <c:manualLayout>
          <c:xMode val="edge"/>
          <c:yMode val="edge"/>
          <c:x val="0.32963167587477016"/>
          <c:y val="3.5906642728904876E-2"/>
        </c:manualLayout>
      </c:layout>
      <c:overlay val="0"/>
    </c:title>
    <c:autoTitleDeleted val="0"/>
    <c:plotArea>
      <c:layout>
        <c:manualLayout>
          <c:layoutTarget val="inner"/>
          <c:xMode val="edge"/>
          <c:yMode val="edge"/>
          <c:x val="9.2844202898550721E-2"/>
          <c:y val="0.14821658962288614"/>
          <c:w val="0.89442960513913661"/>
          <c:h val="0.76382419881536368"/>
        </c:manualLayout>
      </c:layout>
      <c:barChart>
        <c:barDir val="col"/>
        <c:grouping val="clustered"/>
        <c:varyColors val="0"/>
        <c:ser>
          <c:idx val="6"/>
          <c:order val="0"/>
          <c:tx>
            <c:strRef>
              <c:f>Parameters!$BA$5</c:f>
              <c:strCache>
                <c:ptCount val="1"/>
                <c:pt idx="0">
                  <c:v>High-side MOSFET Rdson %</c:v>
                </c:pt>
              </c:strCache>
            </c:strRef>
          </c:tx>
          <c:spPr>
            <a:solidFill>
              <a:srgbClr val="FF0000"/>
            </a:solidFill>
            <a:ln w="12700">
              <a:solidFill>
                <a:srgbClr val="000000"/>
              </a:solidFill>
              <a:prstDash val="solid"/>
            </a:ln>
          </c:spPr>
          <c:invertIfNegative val="0"/>
          <c:dLbls>
            <c:dLbl>
              <c:idx val="0"/>
              <c:tx>
                <c:rich>
                  <a:bodyPr/>
                  <a:lstStyle/>
                  <a:p>
                    <a:r>
                      <a:rPr lang="en-US"/>
                      <a:t>High-side MOSFET</a:t>
                    </a:r>
                  </a:p>
                  <a:p>
                    <a:r>
                      <a:rPr lang="en-US"/>
                      <a:t>Rdson</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352-4A38-B2C4-843C9089CFB5}"/>
                </c:ext>
              </c:extLst>
            </c:dLbl>
            <c:spPr>
              <a:noFill/>
              <a:ln>
                <a:noFill/>
              </a:ln>
              <a:effectLst/>
            </c:spPr>
            <c:txPr>
              <a:bodyPr/>
              <a:lstStyle/>
              <a:p>
                <a:pPr>
                  <a:defRPr sz="1200" b="1"/>
                </a:pPr>
                <a:endParaRPr lang="ja-JP"/>
              </a:p>
            </c:txPr>
            <c:dLblPos val="out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Parameters!$BA$109</c:f>
              <c:numCache>
                <c:formatCode>0.000%</c:formatCode>
                <c:ptCount val="1"/>
                <c:pt idx="0">
                  <c:v>8.1000709018000279E-3</c:v>
                </c:pt>
              </c:numCache>
            </c:numRef>
          </c:val>
          <c:extLst>
            <c:ext xmlns:c16="http://schemas.microsoft.com/office/drawing/2014/chart" uri="{C3380CC4-5D6E-409C-BE32-E72D297353CC}">
              <c16:uniqueId val="{00000001-C352-4A38-B2C4-843C9089CFB5}"/>
            </c:ext>
          </c:extLst>
        </c:ser>
        <c:ser>
          <c:idx val="5"/>
          <c:order val="1"/>
          <c:tx>
            <c:strRef>
              <c:f>Parameters!$BD$5</c:f>
              <c:strCache>
                <c:ptCount val="1"/>
                <c:pt idx="0">
                  <c:v>High-side MOSFET Switching Loss %</c:v>
                </c:pt>
              </c:strCache>
            </c:strRef>
          </c:tx>
          <c:spPr>
            <a:solidFill>
              <a:srgbClr val="0000FF"/>
            </a:solidFill>
            <a:ln w="12700">
              <a:solidFill>
                <a:srgbClr val="000000"/>
              </a:solidFill>
              <a:prstDash val="solid"/>
            </a:ln>
          </c:spPr>
          <c:invertIfNegative val="0"/>
          <c:dLbls>
            <c:dLbl>
              <c:idx val="0"/>
              <c:layout>
                <c:manualLayout>
                  <c:x val="-9.2081031307550637E-4"/>
                  <c:y val="-7.1813285457809741E-3"/>
                </c:manualLayout>
              </c:layout>
              <c:tx>
                <c:rich>
                  <a:bodyPr/>
                  <a:lstStyle/>
                  <a:p>
                    <a:r>
                      <a:rPr lang="en-US"/>
                      <a:t>High-side MOSFET</a:t>
                    </a:r>
                  </a:p>
                  <a:p>
                    <a:r>
                      <a:rPr lang="en-US"/>
                      <a:t>Switching</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352-4A38-B2C4-843C9089CFB5}"/>
                </c:ext>
              </c:extLst>
            </c:dLbl>
            <c:spPr>
              <a:noFill/>
              <a:ln>
                <a:noFill/>
              </a:ln>
              <a:effectLst/>
            </c:spPr>
            <c:txPr>
              <a:bodyPr/>
              <a:lstStyle/>
              <a:p>
                <a:pPr>
                  <a:defRPr sz="1200" b="1"/>
                </a:pPr>
                <a:endParaRPr lang="ja-JP"/>
              </a:p>
            </c:txPr>
            <c:dLblPos val="outEnd"/>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Parameters!$BD$109</c:f>
              <c:numCache>
                <c:formatCode>0.000%</c:formatCode>
                <c:ptCount val="1"/>
                <c:pt idx="0">
                  <c:v>9.9057039827182662E-3</c:v>
                </c:pt>
              </c:numCache>
            </c:numRef>
          </c:val>
          <c:extLst>
            <c:ext xmlns:c16="http://schemas.microsoft.com/office/drawing/2014/chart" uri="{C3380CC4-5D6E-409C-BE32-E72D297353CC}">
              <c16:uniqueId val="{00000003-C352-4A38-B2C4-843C9089CFB5}"/>
            </c:ext>
          </c:extLst>
        </c:ser>
        <c:ser>
          <c:idx val="7"/>
          <c:order val="2"/>
          <c:tx>
            <c:strRef>
              <c:f>Parameters!$BB$5</c:f>
              <c:strCache>
                <c:ptCount val="1"/>
                <c:pt idx="0">
                  <c:v>Low-side MOSFET Rdson %</c:v>
                </c:pt>
              </c:strCache>
            </c:strRef>
          </c:tx>
          <c:spPr>
            <a:solidFill>
              <a:srgbClr val="FF6600"/>
            </a:solidFill>
            <a:ln w="12700">
              <a:solidFill>
                <a:srgbClr val="000000"/>
              </a:solidFill>
              <a:prstDash val="solid"/>
            </a:ln>
          </c:spPr>
          <c:invertIfNegative val="0"/>
          <c:dLbls>
            <c:dLbl>
              <c:idx val="0"/>
              <c:tx>
                <c:rich>
                  <a:bodyPr/>
                  <a:lstStyle/>
                  <a:p>
                    <a:r>
                      <a:rPr lang="en-US" sz="1200" b="1"/>
                      <a:t>L</a:t>
                    </a:r>
                    <a:r>
                      <a:rPr lang="en-US" sz="1200"/>
                      <a:t>ow-side MOSFET</a:t>
                    </a:r>
                  </a:p>
                  <a:p>
                    <a:r>
                      <a:rPr lang="en-US" sz="1200"/>
                      <a:t>Rdson</a:t>
                    </a:r>
                  </a:p>
                </c:rich>
              </c:tx>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352-4A38-B2C4-843C9089CFB5}"/>
                </c:ext>
              </c:extLst>
            </c:dLbl>
            <c:spPr>
              <a:noFill/>
              <a:ln>
                <a:noFill/>
              </a:ln>
              <a:effectLst/>
            </c:spPr>
            <c:txPr>
              <a:bodyPr/>
              <a:lstStyle/>
              <a:p>
                <a:pPr>
                  <a:defRPr b="1"/>
                </a:pPr>
                <a:endParaRPr lang="ja-JP"/>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Parameters!$BB$109</c:f>
              <c:numCache>
                <c:formatCode>0.000%</c:formatCode>
                <c:ptCount val="1"/>
                <c:pt idx="0">
                  <c:v>1.4614802049391215E-2</c:v>
                </c:pt>
              </c:numCache>
            </c:numRef>
          </c:val>
          <c:extLst>
            <c:ext xmlns:c16="http://schemas.microsoft.com/office/drawing/2014/chart" uri="{C3380CC4-5D6E-409C-BE32-E72D297353CC}">
              <c16:uniqueId val="{00000005-C352-4A38-B2C4-843C9089CFB5}"/>
            </c:ext>
          </c:extLst>
        </c:ser>
        <c:ser>
          <c:idx val="3"/>
          <c:order val="3"/>
          <c:tx>
            <c:strRef>
              <c:f>Parameters!$BF$5</c:f>
              <c:strCache>
                <c:ptCount val="1"/>
                <c:pt idx="0">
                  <c:v>Deadtime Loss %</c:v>
                </c:pt>
              </c:strCache>
            </c:strRef>
          </c:tx>
          <c:spPr>
            <a:solidFill>
              <a:srgbClr val="666699"/>
            </a:solidFill>
            <a:ln w="12700">
              <a:solidFill>
                <a:srgbClr val="000000"/>
              </a:solidFill>
              <a:prstDash val="solid"/>
            </a:ln>
          </c:spPr>
          <c:invertIfNegative val="0"/>
          <c:dLbls>
            <c:dLbl>
              <c:idx val="0"/>
              <c:layout>
                <c:manualLayout>
                  <c:x val="0"/>
                  <c:y val="-9.5751047277079695E-3"/>
                </c:manualLayout>
              </c:layout>
              <c:tx>
                <c:rich>
                  <a:bodyPr/>
                  <a:lstStyle/>
                  <a:p>
                    <a:r>
                      <a:rPr lang="en-US"/>
                      <a:t>Low-side MOSFET</a:t>
                    </a:r>
                  </a:p>
                  <a:p>
                    <a:r>
                      <a:rPr lang="en-US"/>
                      <a:t>Deadtime </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352-4A38-B2C4-843C9089CFB5}"/>
                </c:ext>
              </c:extLst>
            </c:dLbl>
            <c:spPr>
              <a:noFill/>
              <a:ln>
                <a:noFill/>
              </a:ln>
              <a:effectLst/>
            </c:spPr>
            <c:txPr>
              <a:bodyPr/>
              <a:lstStyle/>
              <a:p>
                <a:pPr>
                  <a:defRPr sz="1200" b="1"/>
                </a:pPr>
                <a:endParaRPr lang="ja-JP"/>
              </a:p>
            </c:txPr>
            <c:dLblPos val="out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Parameters!$BF$109</c:f>
              <c:numCache>
                <c:formatCode>0.000%</c:formatCode>
                <c:ptCount val="1"/>
                <c:pt idx="0">
                  <c:v>1.6465542803473395E-3</c:v>
                </c:pt>
              </c:numCache>
            </c:numRef>
          </c:val>
          <c:extLst>
            <c:ext xmlns:c16="http://schemas.microsoft.com/office/drawing/2014/chart" uri="{C3380CC4-5D6E-409C-BE32-E72D297353CC}">
              <c16:uniqueId val="{00000007-C352-4A38-B2C4-843C9089CFB5}"/>
            </c:ext>
          </c:extLst>
        </c:ser>
        <c:ser>
          <c:idx val="2"/>
          <c:order val="4"/>
          <c:tx>
            <c:strRef>
              <c:f>Parameters!$BC$5</c:f>
              <c:strCache>
                <c:ptCount val="1"/>
                <c:pt idx="0">
                  <c:v>Gate Drive (Qg) Loss from Vin %</c:v>
                </c:pt>
              </c:strCache>
            </c:strRef>
          </c:tx>
          <c:spPr>
            <a:solidFill>
              <a:srgbClr val="00FFFF"/>
            </a:solidFill>
            <a:ln w="12700">
              <a:solidFill>
                <a:srgbClr val="000000"/>
              </a:solidFill>
              <a:prstDash val="solid"/>
            </a:ln>
          </c:spPr>
          <c:invertIfNegative val="0"/>
          <c:dLbls>
            <c:dLbl>
              <c:idx val="0"/>
              <c:tx>
                <c:rich>
                  <a:bodyPr/>
                  <a:lstStyle/>
                  <a:p>
                    <a:r>
                      <a:rPr lang="en-US"/>
                      <a:t>Gate Drive (Qg)</a:t>
                    </a:r>
                  </a:p>
                  <a:p>
                    <a:r>
                      <a:rPr lang="en-US"/>
                      <a:t>Loss</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352-4A38-B2C4-843C9089CFB5}"/>
                </c:ext>
              </c:extLst>
            </c:dLbl>
            <c:spPr>
              <a:noFill/>
              <a:ln>
                <a:noFill/>
              </a:ln>
              <a:effectLst/>
            </c:spPr>
            <c:txPr>
              <a:bodyPr rot="0" vert="horz"/>
              <a:lstStyle/>
              <a:p>
                <a:pPr>
                  <a:defRPr sz="1200" b="1"/>
                </a:pPr>
                <a:endParaRPr lang="ja-JP"/>
              </a:p>
            </c:txPr>
            <c:dLblPos val="outEnd"/>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Parameters!$BC$109</c:f>
              <c:numCache>
                <c:formatCode>0.000%</c:formatCode>
                <c:ptCount val="1"/>
                <c:pt idx="0">
                  <c:v>2.4831534664325892E-2</c:v>
                </c:pt>
              </c:numCache>
            </c:numRef>
          </c:val>
          <c:extLst>
            <c:ext xmlns:c16="http://schemas.microsoft.com/office/drawing/2014/chart" uri="{C3380CC4-5D6E-409C-BE32-E72D297353CC}">
              <c16:uniqueId val="{00000009-C352-4A38-B2C4-843C9089CFB5}"/>
            </c:ext>
          </c:extLst>
        </c:ser>
        <c:ser>
          <c:idx val="1"/>
          <c:order val="5"/>
          <c:tx>
            <c:strRef>
              <c:f>Parameters!$BE$5</c:f>
              <c:strCache>
                <c:ptCount val="1"/>
                <c:pt idx="0">
                  <c:v>Reverse Recovery &amp; Leakage Loss %</c:v>
                </c:pt>
              </c:strCache>
            </c:strRef>
          </c:tx>
          <c:invertIfNegative val="0"/>
          <c:dLbls>
            <c:dLbl>
              <c:idx val="0"/>
              <c:tx>
                <c:rich>
                  <a:bodyPr/>
                  <a:lstStyle/>
                  <a:p>
                    <a:r>
                      <a:rPr lang="en-US" sz="1200" b="1"/>
                      <a:t>Reverse Recovery</a:t>
                    </a:r>
                  </a:p>
                  <a:p>
                    <a:r>
                      <a:rPr lang="en-US" sz="1200" b="1"/>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352-4A38-B2C4-843C9089CFB5}"/>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Parameters!$BE$109</c:f>
              <c:numCache>
                <c:formatCode>0.000%</c:formatCode>
                <c:ptCount val="1"/>
                <c:pt idx="0">
                  <c:v>1.1631608311305648E-2</c:v>
                </c:pt>
              </c:numCache>
            </c:numRef>
          </c:val>
          <c:extLst>
            <c:ext xmlns:c16="http://schemas.microsoft.com/office/drawing/2014/chart" uri="{C3380CC4-5D6E-409C-BE32-E72D297353CC}">
              <c16:uniqueId val="{0000000B-C352-4A38-B2C4-843C9089CFB5}"/>
            </c:ext>
          </c:extLst>
        </c:ser>
        <c:ser>
          <c:idx val="8"/>
          <c:order val="6"/>
          <c:tx>
            <c:strRef>
              <c:f>Parameters!$BG$5</c:f>
              <c:strCache>
                <c:ptCount val="1"/>
                <c:pt idx="0">
                  <c:v>Inductor Cu Loss %</c:v>
                </c:pt>
              </c:strCache>
            </c:strRef>
          </c:tx>
          <c:spPr>
            <a:solidFill>
              <a:srgbClr val="00FF00"/>
            </a:solidFill>
            <a:ln w="12700">
              <a:solidFill>
                <a:srgbClr val="000000"/>
              </a:solidFill>
              <a:prstDash val="solid"/>
            </a:ln>
          </c:spPr>
          <c:invertIfNegative val="0"/>
          <c:dLbls>
            <c:dLbl>
              <c:idx val="0"/>
              <c:tx>
                <c:rich>
                  <a:bodyPr/>
                  <a:lstStyle/>
                  <a:p>
                    <a:r>
                      <a:rPr lang="en-US"/>
                      <a:t>Inductor DCR</a:t>
                    </a:r>
                  </a:p>
                  <a:p>
                    <a:r>
                      <a:rPr lang="en-US"/>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352-4A38-B2C4-843C9089CFB5}"/>
                </c:ext>
              </c:extLst>
            </c:dLbl>
            <c:spPr>
              <a:noFill/>
              <a:ln>
                <a:noFill/>
              </a:ln>
              <a:effectLst/>
            </c:spPr>
            <c:txPr>
              <a:bodyPr/>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Parameters!$BG$109</c:f>
              <c:numCache>
                <c:formatCode>0.000%</c:formatCode>
                <c:ptCount val="1"/>
                <c:pt idx="0">
                  <c:v>1.6051760250250457E-2</c:v>
                </c:pt>
              </c:numCache>
            </c:numRef>
          </c:val>
          <c:extLst>
            <c:ext xmlns:c16="http://schemas.microsoft.com/office/drawing/2014/chart" uri="{C3380CC4-5D6E-409C-BE32-E72D297353CC}">
              <c16:uniqueId val="{0000000D-C352-4A38-B2C4-843C9089CFB5}"/>
            </c:ext>
          </c:extLst>
        </c:ser>
        <c:ser>
          <c:idx val="4"/>
          <c:order val="7"/>
          <c:tx>
            <c:strRef>
              <c:f>Parameters!$BH$5</c:f>
              <c:strCache>
                <c:ptCount val="1"/>
                <c:pt idx="0">
                  <c:v>Inductor Core Loss %</c:v>
                </c:pt>
              </c:strCache>
            </c:strRef>
          </c:tx>
          <c:spPr>
            <a:solidFill>
              <a:srgbClr val="99CC00"/>
            </a:solidFill>
            <a:ln w="12700">
              <a:solidFill>
                <a:srgbClr val="000000"/>
              </a:solidFill>
              <a:prstDash val="solid"/>
            </a:ln>
          </c:spPr>
          <c:invertIfNegative val="0"/>
          <c:dLbls>
            <c:dLbl>
              <c:idx val="0"/>
              <c:tx>
                <c:rich>
                  <a:bodyPr/>
                  <a:lstStyle/>
                  <a:p>
                    <a:r>
                      <a:rPr lang="en-US"/>
                      <a:t>Inductor Core</a:t>
                    </a:r>
                  </a:p>
                  <a:p>
                    <a:r>
                      <a:rPr lang="en-US"/>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352-4A38-B2C4-843C9089CFB5}"/>
                </c:ext>
              </c:extLst>
            </c:dLbl>
            <c:spPr>
              <a:noFill/>
              <a:ln>
                <a:noFill/>
              </a:ln>
              <a:effectLst/>
            </c:spPr>
            <c:txPr>
              <a:bodyPr/>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Parameters!$BH$109</c:f>
              <c:numCache>
                <c:formatCode>0.000%</c:formatCode>
                <c:ptCount val="1"/>
                <c:pt idx="0">
                  <c:v>6.8152413568584669E-3</c:v>
                </c:pt>
              </c:numCache>
            </c:numRef>
          </c:val>
          <c:extLst>
            <c:ext xmlns:c16="http://schemas.microsoft.com/office/drawing/2014/chart" uri="{C3380CC4-5D6E-409C-BE32-E72D297353CC}">
              <c16:uniqueId val="{0000000F-C352-4A38-B2C4-843C9089CFB5}"/>
            </c:ext>
          </c:extLst>
        </c:ser>
        <c:ser>
          <c:idx val="0"/>
          <c:order val="8"/>
          <c:tx>
            <c:strRef>
              <c:f>Parameters!$BJ$5</c:f>
              <c:strCache>
                <c:ptCount val="1"/>
                <c:pt idx="0">
                  <c:v>Quiescent Current Loss %</c:v>
                </c:pt>
              </c:strCache>
            </c:strRef>
          </c:tx>
          <c:invertIfNegative val="0"/>
          <c:dLbls>
            <c:dLbl>
              <c:idx val="0"/>
              <c:tx>
                <c:rich>
                  <a:bodyPr/>
                  <a:lstStyle/>
                  <a:p>
                    <a:r>
                      <a:rPr lang="en-US"/>
                      <a:t>Quiescent Current</a:t>
                    </a:r>
                  </a:p>
                  <a:p>
                    <a:r>
                      <a:rPr lang="en-US"/>
                      <a:t>Loss </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C352-4A38-B2C4-843C9089CFB5}"/>
                </c:ext>
              </c:extLst>
            </c:dLbl>
            <c:numFmt formatCode="0.0E+00" sourceLinked="0"/>
            <c:spPr>
              <a:noFill/>
            </c:spPr>
            <c:txPr>
              <a:bodyPr rot="0" vert="horz" anchor="ctr" anchorCtr="0"/>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Parameters!$BJ$109</c:f>
              <c:numCache>
                <c:formatCode>0.000%</c:formatCode>
                <c:ptCount val="1"/>
                <c:pt idx="0">
                  <c:v>1.2837829865088564E-2</c:v>
                </c:pt>
              </c:numCache>
            </c:numRef>
          </c:val>
          <c:extLst>
            <c:ext xmlns:c16="http://schemas.microsoft.com/office/drawing/2014/chart" uri="{C3380CC4-5D6E-409C-BE32-E72D297353CC}">
              <c16:uniqueId val="{00000011-C352-4A38-B2C4-843C9089CFB5}"/>
            </c:ext>
          </c:extLst>
        </c:ser>
        <c:dLbls>
          <c:showLegendKey val="0"/>
          <c:showVal val="0"/>
          <c:showCatName val="0"/>
          <c:showSerName val="0"/>
          <c:showPercent val="0"/>
          <c:showBubbleSize val="0"/>
        </c:dLbls>
        <c:gapWidth val="101"/>
        <c:overlap val="-70"/>
        <c:axId val="138558848"/>
        <c:axId val="138577024"/>
      </c:barChart>
      <c:catAx>
        <c:axId val="138558848"/>
        <c:scaling>
          <c:orientation val="minMax"/>
        </c:scaling>
        <c:delete val="0"/>
        <c:axPos val="b"/>
        <c:numFmt formatCode="General" sourceLinked="1"/>
        <c:majorTickMark val="none"/>
        <c:minorTickMark val="none"/>
        <c:tickLblPos val="none"/>
        <c:spPr>
          <a:ln w="3175">
            <a:solidFill>
              <a:srgbClr val="000000"/>
            </a:solidFill>
            <a:prstDash val="solid"/>
          </a:ln>
        </c:spPr>
        <c:txPr>
          <a:bodyPr rot="0" vert="horz"/>
          <a:lstStyle/>
          <a:p>
            <a:pPr>
              <a:defRPr sz="1725" b="0" i="0" u="none" strike="noStrike" baseline="0">
                <a:solidFill>
                  <a:srgbClr val="000000"/>
                </a:solidFill>
                <a:latin typeface="Arial"/>
                <a:ea typeface="Arial"/>
                <a:cs typeface="Arial"/>
              </a:defRPr>
            </a:pPr>
            <a:endParaRPr lang="ja-JP"/>
          </a:p>
        </c:txPr>
        <c:crossAx val="138577024"/>
        <c:crossesAt val="0"/>
        <c:auto val="1"/>
        <c:lblAlgn val="ctr"/>
        <c:lblOffset val="100"/>
        <c:noMultiLvlLbl val="0"/>
      </c:catAx>
      <c:valAx>
        <c:axId val="138577024"/>
        <c:scaling>
          <c:orientation val="minMax"/>
          <c:min val="0"/>
        </c:scaling>
        <c:delete val="0"/>
        <c:axPos val="l"/>
        <c:majorGridlines>
          <c:spPr>
            <a:ln>
              <a:prstDash val="lgDash"/>
            </a:ln>
          </c:spPr>
        </c:majorGridlines>
        <c:title>
          <c:tx>
            <c:rich>
              <a:bodyPr/>
              <a:lstStyle/>
              <a:p>
                <a:pPr>
                  <a:defRPr b="1"/>
                </a:pPr>
                <a:r>
                  <a:rPr lang="en-US" b="1"/>
                  <a:t>Loss</a:t>
                </a:r>
                <a:r>
                  <a:rPr lang="en-US" b="1" baseline="0"/>
                  <a:t> Contributors</a:t>
                </a:r>
                <a:endParaRPr lang="en-US" b="1"/>
              </a:p>
            </c:rich>
          </c:tx>
          <c:layout>
            <c:manualLayout>
              <c:xMode val="edge"/>
              <c:yMode val="edge"/>
              <c:x val="9.9337306593581982E-3"/>
              <c:y val="0.30210944457795558"/>
            </c:manualLayout>
          </c:layout>
          <c:overlay val="0"/>
        </c:title>
        <c:numFmt formatCode="0.0%" sourceLinked="0"/>
        <c:majorTickMark val="out"/>
        <c:minorTickMark val="out"/>
        <c:tickLblPos val="low"/>
        <c:crossAx val="138558848"/>
        <c:crosses val="autoZero"/>
        <c:crossBetween val="between"/>
        <c:majorUnit val="5.0000000000000036E-3"/>
      </c:valAx>
      <c:spPr>
        <a:solidFill>
          <a:schemeClr val="bg1">
            <a:lumMod val="95000"/>
          </a:schemeClr>
        </a:solidFill>
        <a:ln w="25400">
          <a:noFill/>
        </a:ln>
      </c:spPr>
    </c:plotArea>
    <c:plotVisOnly val="1"/>
    <c:dispBlanksAs val="zero"/>
    <c:showDLblsOverMax val="0"/>
  </c:chart>
  <c:spPr>
    <a:solidFill>
      <a:srgbClr val="FFFFFF"/>
    </a:solidFill>
    <a:ln w="3175">
      <a:noFill/>
      <a:prstDash val="solid"/>
    </a:ln>
  </c:spPr>
  <c:txPr>
    <a:bodyPr/>
    <a:lstStyle/>
    <a:p>
      <a:pPr>
        <a:defRPr sz="1725" b="0" i="0" u="none" strike="noStrike" baseline="0">
          <a:solidFill>
            <a:srgbClr val="000000"/>
          </a:solidFill>
          <a:latin typeface="Arial"/>
          <a:ea typeface="Arial"/>
          <a:cs typeface="Arial"/>
        </a:defRPr>
      </a:pPr>
      <a:endParaRPr lang="ja-JP"/>
    </a:p>
  </c:txPr>
  <c:printSettings>
    <c:headerFooter alignWithMargins="0"/>
    <c:pageMargins b="1" l="0.75000000000000255" r="0.7500000000000025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en-US" sz="2000"/>
              <a:t>Breakdown of COT Efficiency Losses vs. Iout</a:t>
            </a:r>
          </a:p>
        </c:rich>
      </c:tx>
      <c:layout>
        <c:manualLayout>
          <c:xMode val="edge"/>
          <c:yMode val="edge"/>
          <c:x val="0.19265692406240287"/>
          <c:y val="3.081543250743031E-2"/>
        </c:manualLayout>
      </c:layout>
      <c:overlay val="0"/>
      <c:spPr>
        <a:noFill/>
        <a:ln w="25400">
          <a:noFill/>
        </a:ln>
      </c:spPr>
    </c:title>
    <c:autoTitleDeleted val="0"/>
    <c:plotArea>
      <c:layout>
        <c:manualLayout>
          <c:layoutTarget val="inner"/>
          <c:xMode val="edge"/>
          <c:yMode val="edge"/>
          <c:x val="0.18496430825131774"/>
          <c:y val="0.14694417652807107"/>
          <c:w val="0.46181411156941887"/>
          <c:h val="0.69570915435856628"/>
        </c:manualLayout>
      </c:layout>
      <c:areaChart>
        <c:grouping val="percentStacked"/>
        <c:varyColors val="0"/>
        <c:ser>
          <c:idx val="1"/>
          <c:order val="0"/>
          <c:tx>
            <c:strRef>
              <c:f>Parameters!$BI$5</c:f>
              <c:strCache>
                <c:ptCount val="1"/>
                <c:pt idx="0">
                  <c:v>Cin Cout ESR %</c:v>
                </c:pt>
              </c:strCache>
            </c:strRef>
          </c:tx>
          <c:spPr>
            <a:solidFill>
              <a:srgbClr val="FFFF00"/>
            </a:solidFill>
            <a:ln w="12700">
              <a:solidFill>
                <a:srgbClr val="000000"/>
              </a:solidFill>
              <a:prstDash val="solid"/>
            </a:ln>
          </c:spPr>
          <c:val>
            <c:numRef>
              <c:f>Parameters!$BI$6:$BI$106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0-EBEE-436C-92E4-D641B4B92D72}"/>
            </c:ext>
          </c:extLst>
        </c:ser>
        <c:ser>
          <c:idx val="3"/>
          <c:order val="1"/>
          <c:tx>
            <c:strRef>
              <c:f>Parameters!$BF$5</c:f>
              <c:strCache>
                <c:ptCount val="1"/>
                <c:pt idx="0">
                  <c:v>Deadtime Loss %</c:v>
                </c:pt>
              </c:strCache>
            </c:strRef>
          </c:tx>
          <c:spPr>
            <a:solidFill>
              <a:srgbClr val="666699"/>
            </a:solidFill>
            <a:ln w="12700">
              <a:solidFill>
                <a:srgbClr val="000000"/>
              </a:solidFill>
              <a:prstDash val="solid"/>
            </a:ln>
          </c:spPr>
          <c:val>
            <c:numRef>
              <c:f>Parameters!$BF$6:$BF$106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1-EBEE-436C-92E4-D641B4B92D72}"/>
            </c:ext>
          </c:extLst>
        </c:ser>
        <c:ser>
          <c:idx val="6"/>
          <c:order val="2"/>
          <c:tx>
            <c:strRef>
              <c:f>Parameters!$BA$5</c:f>
              <c:strCache>
                <c:ptCount val="1"/>
                <c:pt idx="0">
                  <c:v>High-side MOSFET Rdson %</c:v>
                </c:pt>
              </c:strCache>
            </c:strRef>
          </c:tx>
          <c:spPr>
            <a:solidFill>
              <a:srgbClr val="FF0000"/>
            </a:solidFill>
            <a:ln w="12700">
              <a:solidFill>
                <a:srgbClr val="000000"/>
              </a:solidFill>
              <a:prstDash val="solid"/>
            </a:ln>
          </c:spPr>
          <c:val>
            <c:numRef>
              <c:f>Parameters!$BA$6:$BA$106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2-EBEE-436C-92E4-D641B4B92D72}"/>
            </c:ext>
          </c:extLst>
        </c:ser>
        <c:ser>
          <c:idx val="7"/>
          <c:order val="3"/>
          <c:tx>
            <c:strRef>
              <c:f>Parameters!$BB$5</c:f>
              <c:strCache>
                <c:ptCount val="1"/>
                <c:pt idx="0">
                  <c:v>Low-side MOSFET Rdson %</c:v>
                </c:pt>
              </c:strCache>
            </c:strRef>
          </c:tx>
          <c:spPr>
            <a:solidFill>
              <a:srgbClr val="FF6600"/>
            </a:solidFill>
            <a:ln w="12700">
              <a:solidFill>
                <a:srgbClr val="000000"/>
              </a:solidFill>
              <a:prstDash val="solid"/>
            </a:ln>
          </c:spPr>
          <c:val>
            <c:numRef>
              <c:f>Parameters!$BB$6:$BB$106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3-EBEE-436C-92E4-D641B4B92D72}"/>
            </c:ext>
          </c:extLst>
        </c:ser>
        <c:ser>
          <c:idx val="4"/>
          <c:order val="4"/>
          <c:tx>
            <c:strRef>
              <c:f>Parameters!$BH$5</c:f>
              <c:strCache>
                <c:ptCount val="1"/>
                <c:pt idx="0">
                  <c:v>Inductor Core Loss %</c:v>
                </c:pt>
              </c:strCache>
            </c:strRef>
          </c:tx>
          <c:spPr>
            <a:solidFill>
              <a:srgbClr val="99CC00"/>
            </a:solidFill>
            <a:ln w="12700">
              <a:solidFill>
                <a:srgbClr val="000000"/>
              </a:solidFill>
              <a:prstDash val="solid"/>
            </a:ln>
          </c:spPr>
          <c:val>
            <c:numRef>
              <c:f>Parameters!$BH$6:$BH$106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4-EBEE-436C-92E4-D641B4B92D72}"/>
            </c:ext>
          </c:extLst>
        </c:ser>
        <c:ser>
          <c:idx val="8"/>
          <c:order val="5"/>
          <c:tx>
            <c:strRef>
              <c:f>Parameters!$BG$5</c:f>
              <c:strCache>
                <c:ptCount val="1"/>
                <c:pt idx="0">
                  <c:v>Inductor Cu Loss %</c:v>
                </c:pt>
              </c:strCache>
            </c:strRef>
          </c:tx>
          <c:spPr>
            <a:solidFill>
              <a:srgbClr val="00FF00"/>
            </a:solidFill>
            <a:ln w="12700">
              <a:solidFill>
                <a:srgbClr val="000000"/>
              </a:solidFill>
              <a:prstDash val="solid"/>
            </a:ln>
          </c:spPr>
          <c:val>
            <c:numRef>
              <c:f>Parameters!$BG$6:$BG$106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5-EBEE-436C-92E4-D641B4B92D72}"/>
            </c:ext>
          </c:extLst>
        </c:ser>
        <c:ser>
          <c:idx val="2"/>
          <c:order val="6"/>
          <c:tx>
            <c:strRef>
              <c:f>Parameters!$BC$5</c:f>
              <c:strCache>
                <c:ptCount val="1"/>
                <c:pt idx="0">
                  <c:v>Gate Drive (Qg) Loss from Vin %</c:v>
                </c:pt>
              </c:strCache>
            </c:strRef>
          </c:tx>
          <c:spPr>
            <a:solidFill>
              <a:srgbClr val="00FFFF"/>
            </a:solidFill>
            <a:ln w="12700">
              <a:solidFill>
                <a:srgbClr val="000000"/>
              </a:solidFill>
              <a:prstDash val="solid"/>
            </a:ln>
          </c:spPr>
          <c:val>
            <c:numRef>
              <c:f>Parameters!$BC$6:$BC$106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6-EBEE-436C-92E4-D641B4B92D72}"/>
            </c:ext>
          </c:extLst>
        </c:ser>
        <c:ser>
          <c:idx val="5"/>
          <c:order val="7"/>
          <c:tx>
            <c:strRef>
              <c:f>Parameters!$BD$5</c:f>
              <c:strCache>
                <c:ptCount val="1"/>
                <c:pt idx="0">
                  <c:v>High-side MOSFET Switching Loss %</c:v>
                </c:pt>
              </c:strCache>
            </c:strRef>
          </c:tx>
          <c:spPr>
            <a:solidFill>
              <a:srgbClr val="0000FF"/>
            </a:solidFill>
            <a:ln w="12700">
              <a:solidFill>
                <a:srgbClr val="000000"/>
              </a:solidFill>
              <a:prstDash val="solid"/>
            </a:ln>
          </c:spPr>
          <c:val>
            <c:numRef>
              <c:f>Parameters!$BD$6:$BD$106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7-EBEE-436C-92E4-D641B4B92D72}"/>
            </c:ext>
          </c:extLst>
        </c:ser>
        <c:ser>
          <c:idx val="10"/>
          <c:order val="8"/>
          <c:tx>
            <c:strRef>
              <c:f>Parameters!$BE$5</c:f>
              <c:strCache>
                <c:ptCount val="1"/>
                <c:pt idx="0">
                  <c:v>Reverse Recovery &amp; Leakage Loss %</c:v>
                </c:pt>
              </c:strCache>
            </c:strRef>
          </c:tx>
          <c:spPr>
            <a:solidFill>
              <a:srgbClr val="FFFF00"/>
            </a:solidFill>
            <a:ln w="12700">
              <a:solidFill>
                <a:srgbClr val="000000"/>
              </a:solidFill>
              <a:prstDash val="solid"/>
            </a:ln>
          </c:spPr>
          <c:val>
            <c:numRef>
              <c:f>Parameters!$BE$6:$BE$106</c:f>
              <c:numCache>
                <c:formatCode>0.000%</c:formatCode>
                <c:ptCount val="101"/>
                <c:pt idx="0">
                  <c:v>0</c:v>
                </c:pt>
                <c:pt idx="1">
                  <c:v>0</c:v>
                </c:pt>
                <c:pt idx="2">
                  <c:v>0</c:v>
                </c:pt>
                <c:pt idx="3">
                  <c:v>0</c:v>
                </c:pt>
                <c:pt idx="100">
                  <c:v>0</c:v>
                </c:pt>
              </c:numCache>
            </c:numRef>
          </c:val>
          <c:extLst>
            <c:ext xmlns:c16="http://schemas.microsoft.com/office/drawing/2014/chart" uri="{C3380CC4-5D6E-409C-BE32-E72D297353CC}">
              <c16:uniqueId val="{00000008-EBEE-436C-92E4-D641B4B92D72}"/>
            </c:ext>
          </c:extLst>
        </c:ser>
        <c:ser>
          <c:idx val="0"/>
          <c:order val="9"/>
          <c:tx>
            <c:strRef>
              <c:f>Parameters!$BJ$5</c:f>
              <c:strCache>
                <c:ptCount val="1"/>
                <c:pt idx="0">
                  <c:v>Quiescent Current Loss %</c:v>
                </c:pt>
              </c:strCache>
            </c:strRef>
          </c:tx>
          <c:val>
            <c:numRef>
              <c:f>Parameters!$BJ$6:$BJ$106</c:f>
              <c:numCache>
                <c:formatCode>0.00%</c:formatCode>
                <c:ptCount val="101"/>
                <c:pt idx="0">
                  <c:v>0</c:v>
                </c:pt>
                <c:pt idx="1">
                  <c:v>0</c:v>
                </c:pt>
                <c:pt idx="2">
                  <c:v>0</c:v>
                </c:pt>
                <c:pt idx="3">
                  <c:v>0</c:v>
                </c:pt>
                <c:pt idx="100">
                  <c:v>0</c:v>
                </c:pt>
              </c:numCache>
            </c:numRef>
          </c:val>
          <c:extLst>
            <c:ext xmlns:c16="http://schemas.microsoft.com/office/drawing/2014/chart" uri="{C3380CC4-5D6E-409C-BE32-E72D297353CC}">
              <c16:uniqueId val="{00000009-EBEE-436C-92E4-D641B4B92D72}"/>
            </c:ext>
          </c:extLst>
        </c:ser>
        <c:ser>
          <c:idx val="9"/>
          <c:order val="10"/>
          <c:tx>
            <c:strRef>
              <c:f>Parameters!$BL$5</c:f>
              <c:strCache>
                <c:ptCount val="1"/>
                <c:pt idx="0">
                  <c:v>Overall Eff %</c:v>
                </c:pt>
              </c:strCache>
            </c:strRef>
          </c:tx>
          <c:spPr>
            <a:solidFill>
              <a:srgbClr val="000000"/>
            </a:solidFill>
            <a:ln w="12700">
              <a:solidFill>
                <a:srgbClr val="000000"/>
              </a:solidFill>
              <a:prstDash val="solid"/>
            </a:ln>
          </c:spPr>
          <c:val>
            <c:numRef>
              <c:f>Parameters!$BL$6:$BL$106</c:f>
              <c:numCache>
                <c:formatCode>0.00%</c:formatCode>
                <c:ptCount val="101"/>
                <c:pt idx="0">
                  <c:v>1</c:v>
                </c:pt>
                <c:pt idx="1">
                  <c:v>1</c:v>
                </c:pt>
                <c:pt idx="2">
                  <c:v>1</c:v>
                </c:pt>
                <c:pt idx="3">
                  <c:v>1</c:v>
                </c:pt>
                <c:pt idx="100">
                  <c:v>1</c:v>
                </c:pt>
              </c:numCache>
            </c:numRef>
          </c:val>
          <c:extLst>
            <c:ext xmlns:c16="http://schemas.microsoft.com/office/drawing/2014/chart" uri="{C3380CC4-5D6E-409C-BE32-E72D297353CC}">
              <c16:uniqueId val="{0000000A-EBEE-436C-92E4-D641B4B92D72}"/>
            </c:ext>
          </c:extLst>
        </c:ser>
        <c:dLbls>
          <c:showLegendKey val="0"/>
          <c:showVal val="0"/>
          <c:showCatName val="0"/>
          <c:showSerName val="0"/>
          <c:showPercent val="0"/>
          <c:showBubbleSize val="0"/>
        </c:dLbls>
        <c:axId val="138970240"/>
        <c:axId val="138972160"/>
      </c:areaChart>
      <c:catAx>
        <c:axId val="138970240"/>
        <c:scaling>
          <c:orientation val="minMax"/>
        </c:scaling>
        <c:delete val="0"/>
        <c:axPos val="b"/>
        <c:majorGridlines>
          <c:spPr>
            <a:ln w="3175">
              <a:solidFill>
                <a:srgbClr val="000000"/>
              </a:solidFill>
              <a:prstDash val="solid"/>
            </a:ln>
          </c:spPr>
        </c:majorGridlines>
        <c:title>
          <c:tx>
            <c:rich>
              <a:bodyPr/>
              <a:lstStyle/>
              <a:p>
                <a:pPr>
                  <a:defRPr sz="1725" b="1" i="0" u="none" strike="noStrike" baseline="0">
                    <a:solidFill>
                      <a:srgbClr val="000000"/>
                    </a:solidFill>
                    <a:latin typeface="Arial"/>
                    <a:ea typeface="Arial"/>
                    <a:cs typeface="Arial"/>
                  </a:defRPr>
                </a:pPr>
                <a:r>
                  <a:rPr lang="en-US"/>
                  <a:t>I</a:t>
                </a:r>
                <a:r>
                  <a:rPr lang="en-US" baseline="-25000"/>
                  <a:t>OUT</a:t>
                </a:r>
                <a:r>
                  <a:rPr lang="en-US"/>
                  <a:t> (log scale)</a:t>
                </a:r>
              </a:p>
            </c:rich>
          </c:tx>
          <c:layout>
            <c:manualLayout>
              <c:xMode val="edge"/>
              <c:yMode val="edge"/>
              <c:x val="0.36670200647119611"/>
              <c:y val="0.89150460843557344"/>
            </c:manualLayout>
          </c:layout>
          <c:overlay val="0"/>
          <c:spPr>
            <a:noFill/>
            <a:ln w="25400">
              <a:noFill/>
            </a:ln>
          </c:spPr>
        </c:title>
        <c:numFmt formatCode="#,##0" sourceLinked="0"/>
        <c:majorTickMark val="out"/>
        <c:minorTickMark val="none"/>
        <c:tickLblPos val="none"/>
        <c:spPr>
          <a:ln w="3175">
            <a:solidFill>
              <a:srgbClr val="000000"/>
            </a:solidFill>
            <a:prstDash val="solid"/>
          </a:ln>
        </c:spPr>
        <c:txPr>
          <a:bodyPr rot="-5400000" vert="horz"/>
          <a:lstStyle/>
          <a:p>
            <a:pPr>
              <a:defRPr sz="1725" b="0" i="0" u="none" strike="noStrike" baseline="0">
                <a:solidFill>
                  <a:srgbClr val="000000"/>
                </a:solidFill>
                <a:latin typeface="Arial"/>
                <a:ea typeface="Arial"/>
                <a:cs typeface="Arial"/>
              </a:defRPr>
            </a:pPr>
            <a:endParaRPr lang="ja-JP"/>
          </a:p>
        </c:txPr>
        <c:crossAx val="138972160"/>
        <c:crosses val="autoZero"/>
        <c:auto val="1"/>
        <c:lblAlgn val="ctr"/>
        <c:lblOffset val="100"/>
        <c:tickMarkSkip val="1"/>
        <c:noMultiLvlLbl val="0"/>
      </c:catAx>
      <c:valAx>
        <c:axId val="138972160"/>
        <c:scaling>
          <c:orientation val="minMax"/>
          <c:max val="0.2"/>
          <c:min val="0"/>
        </c:scaling>
        <c:delete val="0"/>
        <c:axPos val="l"/>
        <c:majorGridlines>
          <c:spPr>
            <a:ln w="3175">
              <a:solidFill>
                <a:srgbClr val="000000"/>
              </a:solidFill>
              <a:prstDash val="solid"/>
            </a:ln>
          </c:spPr>
        </c:majorGridlines>
        <c:title>
          <c:tx>
            <c:rich>
              <a:bodyPr/>
              <a:lstStyle/>
              <a:p>
                <a:pPr>
                  <a:defRPr sz="1725" b="1" i="0" u="none" strike="noStrike" baseline="0">
                    <a:solidFill>
                      <a:srgbClr val="000000"/>
                    </a:solidFill>
                    <a:latin typeface="Arial"/>
                    <a:ea typeface="Arial"/>
                    <a:cs typeface="Arial"/>
                  </a:defRPr>
                </a:pPr>
                <a:r>
                  <a:rPr lang="en-US"/>
                  <a:t>Efficiency (%)</a:t>
                </a:r>
              </a:p>
            </c:rich>
          </c:tx>
          <c:layout>
            <c:manualLayout>
              <c:xMode val="edge"/>
              <c:yMode val="edge"/>
              <c:x val="0.10744349235757295"/>
              <c:y val="0.319433183553308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25" b="0" i="0" u="none" strike="noStrike" baseline="0">
                <a:solidFill>
                  <a:srgbClr val="000000"/>
                </a:solidFill>
                <a:latin typeface="Arial"/>
                <a:ea typeface="Arial"/>
                <a:cs typeface="Arial"/>
              </a:defRPr>
            </a:pPr>
            <a:endParaRPr lang="ja-JP"/>
          </a:p>
        </c:txPr>
        <c:crossAx val="138970240"/>
        <c:crosses val="autoZero"/>
        <c:crossBetween val="midCat"/>
        <c:majorUnit val="0.05"/>
      </c:valAx>
      <c:spPr>
        <a:solidFill>
          <a:srgbClr val="C0C0C0"/>
        </a:solidFill>
        <a:ln w="12700">
          <a:solidFill>
            <a:srgbClr val="808080"/>
          </a:solidFill>
          <a:prstDash val="solid"/>
        </a:ln>
      </c:spPr>
    </c:plotArea>
    <c:legend>
      <c:legendPos val="r"/>
      <c:layout>
        <c:manualLayout>
          <c:xMode val="edge"/>
          <c:yMode val="edge"/>
          <c:x val="0.6796348064312191"/>
          <c:y val="5.737748792134436E-2"/>
          <c:w val="0.26010897805044486"/>
          <c:h val="0.85864261581306134"/>
        </c:manualLayout>
      </c:layout>
      <c:overlay val="0"/>
      <c:spPr>
        <a:solidFill>
          <a:srgbClr val="FFFFFF"/>
        </a:solidFill>
        <a:ln w="3175">
          <a:solidFill>
            <a:srgbClr val="000000"/>
          </a:solidFill>
          <a:prstDash val="solid"/>
        </a:ln>
      </c:spPr>
      <c:txPr>
        <a:bodyPr/>
        <a:lstStyle/>
        <a:p>
          <a:pPr>
            <a:defRPr sz="1335" b="0" i="0" u="none" strike="noStrike" baseline="0">
              <a:solidFill>
                <a:srgbClr val="000000"/>
              </a:solidFill>
              <a:latin typeface="Arial"/>
              <a:ea typeface="Arial"/>
              <a:cs typeface="Arial"/>
            </a:defRPr>
          </a:pPr>
          <a:endParaRPr lang="ja-JP"/>
        </a:p>
      </c:txPr>
    </c:legend>
    <c:plotVisOnly val="1"/>
    <c:dispBlanksAs val="zero"/>
    <c:showDLblsOverMax val="0"/>
  </c:chart>
  <c:spPr>
    <a:solidFill>
      <a:srgbClr val="FFFFFF"/>
    </a:solidFill>
    <a:ln w="3175">
      <a:noFill/>
      <a:prstDash val="solid"/>
    </a:ln>
  </c:spPr>
  <c:txPr>
    <a:bodyPr/>
    <a:lstStyle/>
    <a:p>
      <a:pPr>
        <a:defRPr sz="1725" b="0" i="0" u="none" strike="noStrike" baseline="0">
          <a:solidFill>
            <a:srgbClr val="000000"/>
          </a:solidFill>
          <a:latin typeface="Arial"/>
          <a:ea typeface="Arial"/>
          <a:cs typeface="Arial"/>
        </a:defRPr>
      </a:pPr>
      <a:endParaRPr lang="ja-JP"/>
    </a:p>
  </c:txPr>
  <c:printSettings>
    <c:headerFooter alignWithMargins="0"/>
    <c:pageMargins b="1" l="0.75000000000000189" r="0.75000000000000189"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pitchFamily="34" charset="0"/>
                <a:ea typeface="Calibri"/>
                <a:cs typeface="Arial" pitchFamily="34" charset="0"/>
              </a:defRPr>
            </a:pPr>
            <a:r>
              <a:rPr lang="en-US" sz="2000">
                <a:latin typeface="Arial" pitchFamily="34" charset="0"/>
                <a:cs typeface="Arial" pitchFamily="34" charset="0"/>
                <a:sym typeface="Symbol"/>
              </a:rPr>
              <a:t></a:t>
            </a:r>
            <a:r>
              <a:rPr lang="en-US" sz="2000" b="1" i="0" u="none" strike="noStrike" baseline="0"/>
              <a:t>, V</a:t>
            </a:r>
            <a:r>
              <a:rPr lang="en-US" sz="2000" b="1" i="0" u="none" strike="noStrike" baseline="-25000"/>
              <a:t>IN</a:t>
            </a:r>
            <a:r>
              <a:rPr lang="en-US" sz="2000" b="1" i="0" u="none" strike="noStrike" baseline="0"/>
              <a:t> = V</a:t>
            </a:r>
            <a:r>
              <a:rPr lang="en-US" sz="2000" b="1" i="0" u="none" strike="noStrike" baseline="-25000"/>
              <a:t>IN(nom)</a:t>
            </a:r>
            <a:endParaRPr lang="en-US" sz="2000">
              <a:latin typeface="Arial" pitchFamily="34" charset="0"/>
              <a:cs typeface="Arial" pitchFamily="34" charset="0"/>
            </a:endParaRPr>
          </a:p>
        </c:rich>
      </c:tx>
      <c:layout>
        <c:manualLayout>
          <c:xMode val="edge"/>
          <c:yMode val="edge"/>
          <c:x val="0.10084794235626206"/>
          <c:y val="2.0639566697272373E-2"/>
        </c:manualLayout>
      </c:layout>
      <c:overlay val="0"/>
      <c:spPr>
        <a:noFill/>
        <a:ln w="25400">
          <a:noFill/>
        </a:ln>
      </c:spPr>
    </c:title>
    <c:autoTitleDeleted val="0"/>
    <c:plotArea>
      <c:layout>
        <c:manualLayout>
          <c:layoutTarget val="inner"/>
          <c:xMode val="edge"/>
          <c:yMode val="edge"/>
          <c:x val="8.5540561846730284E-2"/>
          <c:y val="0.12372903654825702"/>
          <c:w val="0.82265898741455901"/>
          <c:h val="0.76068566810117366"/>
        </c:manualLayout>
      </c:layout>
      <c:lineChart>
        <c:grouping val="standard"/>
        <c:varyColors val="0"/>
        <c:ser>
          <c:idx val="0"/>
          <c:order val="0"/>
          <c:tx>
            <c:v> Efficiency</c:v>
          </c:tx>
          <c:spPr>
            <a:ln w="31750">
              <a:solidFill>
                <a:srgbClr val="FF0000"/>
              </a:solidFill>
              <a:prstDash val="solid"/>
            </a:ln>
          </c:spPr>
          <c:marker>
            <c:symbol val="none"/>
          </c:marker>
          <c:cat>
            <c:numRef>
              <c:f>Parameters!$BN$6:$BN$106</c:f>
              <c:numCache>
                <c:formatCode>0.000</c:formatCode>
                <c:ptCount val="101"/>
                <c:pt idx="0">
                  <c:v>0.4</c:v>
                </c:pt>
                <c:pt idx="1">
                  <c:v>4</c:v>
                </c:pt>
                <c:pt idx="2">
                  <c:v>8</c:v>
                </c:pt>
                <c:pt idx="3">
                  <c:v>12</c:v>
                </c:pt>
                <c:pt idx="100">
                  <c:v>400</c:v>
                </c:pt>
              </c:numCache>
            </c:numRef>
          </c:cat>
          <c:val>
            <c:numRef>
              <c:f>Parameters!$BZ$6:$BZ$106</c:f>
              <c:numCache>
                <c:formatCode>0.00</c:formatCode>
                <c:ptCount val="101"/>
                <c:pt idx="0">
                  <c:v>100</c:v>
                </c:pt>
                <c:pt idx="1">
                  <c:v>100</c:v>
                </c:pt>
                <c:pt idx="2">
                  <c:v>100</c:v>
                </c:pt>
                <c:pt idx="3">
                  <c:v>100</c:v>
                </c:pt>
                <c:pt idx="100">
                  <c:v>100</c:v>
                </c:pt>
              </c:numCache>
            </c:numRef>
          </c:val>
          <c:smooth val="1"/>
          <c:extLst>
            <c:ext xmlns:c16="http://schemas.microsoft.com/office/drawing/2014/chart" uri="{C3380CC4-5D6E-409C-BE32-E72D297353CC}">
              <c16:uniqueId val="{00000000-07C7-43D5-971A-725E4EA524AB}"/>
            </c:ext>
          </c:extLst>
        </c:ser>
        <c:dLbls>
          <c:showLegendKey val="0"/>
          <c:showVal val="0"/>
          <c:showCatName val="0"/>
          <c:showSerName val="0"/>
          <c:showPercent val="0"/>
          <c:showBubbleSize val="0"/>
        </c:dLbls>
        <c:marker val="1"/>
        <c:smooth val="0"/>
        <c:axId val="139009024"/>
        <c:axId val="139031680"/>
      </c:lineChart>
      <c:lineChart>
        <c:grouping val="standard"/>
        <c:varyColors val="0"/>
        <c:ser>
          <c:idx val="2"/>
          <c:order val="1"/>
          <c:tx>
            <c:v> IC Total Power Loss</c:v>
          </c:tx>
          <c:spPr>
            <a:ln w="38100">
              <a:solidFill>
                <a:srgbClr val="808000"/>
              </a:solidFill>
              <a:prstDash val="sysDash"/>
            </a:ln>
          </c:spPr>
          <c:marker>
            <c:symbol val="none"/>
          </c:marker>
          <c:cat>
            <c:numRef>
              <c:f>Parameters!$BN$6:$BN$106</c:f>
              <c:numCache>
                <c:formatCode>0.000</c:formatCode>
                <c:ptCount val="101"/>
                <c:pt idx="0">
                  <c:v>0.4</c:v>
                </c:pt>
                <c:pt idx="1">
                  <c:v>4</c:v>
                </c:pt>
                <c:pt idx="2">
                  <c:v>8</c:v>
                </c:pt>
                <c:pt idx="3">
                  <c:v>12</c:v>
                </c:pt>
                <c:pt idx="100">
                  <c:v>400</c:v>
                </c:pt>
              </c:numCache>
            </c:numRef>
          </c:cat>
          <c:val>
            <c:numRef>
              <c:f>Parameters!$CA$6:$CA$106</c:f>
              <c:numCache>
                <c:formatCode>0.00</c:formatCode>
                <c:ptCount val="101"/>
                <c:pt idx="0">
                  <c:v>0</c:v>
                </c:pt>
                <c:pt idx="1">
                  <c:v>0</c:v>
                </c:pt>
                <c:pt idx="2">
                  <c:v>0</c:v>
                </c:pt>
                <c:pt idx="3">
                  <c:v>0</c:v>
                </c:pt>
                <c:pt idx="100">
                  <c:v>0</c:v>
                </c:pt>
              </c:numCache>
            </c:numRef>
          </c:val>
          <c:smooth val="0"/>
          <c:extLst>
            <c:ext xmlns:c16="http://schemas.microsoft.com/office/drawing/2014/chart" uri="{C3380CC4-5D6E-409C-BE32-E72D297353CC}">
              <c16:uniqueId val="{00000001-07C7-43D5-971A-725E4EA524AB}"/>
            </c:ext>
          </c:extLst>
        </c:ser>
        <c:ser>
          <c:idx val="1"/>
          <c:order val="2"/>
          <c:tx>
            <c:v> LDO + Quiescent Loss</c:v>
          </c:tx>
          <c:spPr>
            <a:ln w="38100">
              <a:solidFill>
                <a:srgbClr val="002060"/>
              </a:solidFill>
              <a:prstDash val="sysDot"/>
            </a:ln>
          </c:spPr>
          <c:marker>
            <c:symbol val="none"/>
          </c:marker>
          <c:cat>
            <c:numRef>
              <c:f>Parameters!$BN$6:$BN$106</c:f>
              <c:numCache>
                <c:formatCode>0.000</c:formatCode>
                <c:ptCount val="101"/>
                <c:pt idx="0">
                  <c:v>0.4</c:v>
                </c:pt>
                <c:pt idx="1">
                  <c:v>4</c:v>
                </c:pt>
                <c:pt idx="2">
                  <c:v>8</c:v>
                </c:pt>
                <c:pt idx="3">
                  <c:v>12</c:v>
                </c:pt>
                <c:pt idx="100">
                  <c:v>400</c:v>
                </c:pt>
              </c:numCache>
            </c:numRef>
          </c:cat>
          <c:val>
            <c:numRef>
              <c:f>Parameters!$CB$6:$CB$106</c:f>
              <c:numCache>
                <c:formatCode>0.00</c:formatCode>
                <c:ptCount val="101"/>
                <c:pt idx="0">
                  <c:v>0</c:v>
                </c:pt>
                <c:pt idx="1">
                  <c:v>0</c:v>
                </c:pt>
                <c:pt idx="2">
                  <c:v>0</c:v>
                </c:pt>
                <c:pt idx="3">
                  <c:v>0</c:v>
                </c:pt>
                <c:pt idx="100">
                  <c:v>0</c:v>
                </c:pt>
              </c:numCache>
            </c:numRef>
          </c:val>
          <c:smooth val="0"/>
          <c:extLst>
            <c:ext xmlns:c16="http://schemas.microsoft.com/office/drawing/2014/chart" uri="{C3380CC4-5D6E-409C-BE32-E72D297353CC}">
              <c16:uniqueId val="{00000002-07C7-43D5-971A-725E4EA524AB}"/>
            </c:ext>
          </c:extLst>
        </c:ser>
        <c:ser>
          <c:idx val="3"/>
          <c:order val="3"/>
          <c:tx>
            <c:v> Inductor Loss</c:v>
          </c:tx>
          <c:spPr>
            <a:ln w="38100">
              <a:solidFill>
                <a:srgbClr val="800080"/>
              </a:solidFill>
              <a:prstDash val="dash"/>
            </a:ln>
          </c:spPr>
          <c:marker>
            <c:symbol val="none"/>
          </c:marker>
          <c:cat>
            <c:numRef>
              <c:f>Parameters!$BN$6:$BN$106</c:f>
              <c:numCache>
                <c:formatCode>0.000</c:formatCode>
                <c:ptCount val="101"/>
                <c:pt idx="0">
                  <c:v>0.4</c:v>
                </c:pt>
                <c:pt idx="1">
                  <c:v>4</c:v>
                </c:pt>
                <c:pt idx="2">
                  <c:v>8</c:v>
                </c:pt>
                <c:pt idx="3">
                  <c:v>12</c:v>
                </c:pt>
                <c:pt idx="100">
                  <c:v>400</c:v>
                </c:pt>
              </c:numCache>
            </c:numRef>
          </c:cat>
          <c:val>
            <c:numRef>
              <c:f>Parameters!$CC$6:$CC$106</c:f>
              <c:numCache>
                <c:formatCode>0.00</c:formatCode>
                <c:ptCount val="101"/>
                <c:pt idx="0">
                  <c:v>0</c:v>
                </c:pt>
                <c:pt idx="1">
                  <c:v>0</c:v>
                </c:pt>
                <c:pt idx="2">
                  <c:v>0</c:v>
                </c:pt>
                <c:pt idx="3">
                  <c:v>0</c:v>
                </c:pt>
                <c:pt idx="100">
                  <c:v>0</c:v>
                </c:pt>
              </c:numCache>
            </c:numRef>
          </c:val>
          <c:smooth val="0"/>
          <c:extLst>
            <c:ext xmlns:c16="http://schemas.microsoft.com/office/drawing/2014/chart" uri="{C3380CC4-5D6E-409C-BE32-E72D297353CC}">
              <c16:uniqueId val="{00000003-07C7-43D5-971A-725E4EA524AB}"/>
            </c:ext>
          </c:extLst>
        </c:ser>
        <c:dLbls>
          <c:showLegendKey val="0"/>
          <c:showVal val="0"/>
          <c:showCatName val="0"/>
          <c:showSerName val="0"/>
          <c:showPercent val="0"/>
          <c:showBubbleSize val="0"/>
        </c:dLbls>
        <c:marker val="1"/>
        <c:smooth val="0"/>
        <c:axId val="139035776"/>
        <c:axId val="139033600"/>
      </c:lineChart>
      <c:catAx>
        <c:axId val="139009024"/>
        <c:scaling>
          <c:orientation val="minMax"/>
        </c:scaling>
        <c:delete val="0"/>
        <c:axPos val="b"/>
        <c:majorGridlines>
          <c:spPr>
            <a:ln w="15875">
              <a:solidFill>
                <a:srgbClr val="969696"/>
              </a:solidFill>
              <a:prstDash val="sysDash"/>
            </a:ln>
          </c:spPr>
        </c:majorGridlines>
        <c:title>
          <c:tx>
            <c:rich>
              <a:bodyPr/>
              <a:lstStyle/>
              <a:p>
                <a:pPr>
                  <a:defRPr sz="1300" b="1" i="0" u="none" strike="noStrike" baseline="0">
                    <a:solidFill>
                      <a:sysClr val="windowText" lastClr="000000"/>
                    </a:solidFill>
                    <a:latin typeface="Arial" pitchFamily="34" charset="0"/>
                    <a:ea typeface="Calibri"/>
                    <a:cs typeface="Arial" pitchFamily="34" charset="0"/>
                  </a:defRPr>
                </a:pPr>
                <a:r>
                  <a:rPr lang="en-US" sz="1300">
                    <a:solidFill>
                      <a:sysClr val="windowText" lastClr="000000"/>
                    </a:solidFill>
                    <a:latin typeface="Arial" pitchFamily="34" charset="0"/>
                    <a:cs typeface="Arial" pitchFamily="34" charset="0"/>
                  </a:rPr>
                  <a:t>Load Current (mA)</a:t>
                </a:r>
              </a:p>
            </c:rich>
          </c:tx>
          <c:layout>
            <c:manualLayout>
              <c:xMode val="edge"/>
              <c:yMode val="edge"/>
              <c:x val="0.41625343343709942"/>
              <c:y val="0.94571913573731337"/>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pitchFamily="34" charset="0"/>
                <a:ea typeface="Calibri"/>
                <a:cs typeface="Arial" pitchFamily="34" charset="0"/>
              </a:defRPr>
            </a:pPr>
            <a:endParaRPr lang="ja-JP"/>
          </a:p>
        </c:txPr>
        <c:crossAx val="139031680"/>
        <c:crosses val="autoZero"/>
        <c:auto val="1"/>
        <c:lblAlgn val="ctr"/>
        <c:lblOffset val="100"/>
        <c:tickLblSkip val="20"/>
        <c:tickMarkSkip val="20"/>
        <c:noMultiLvlLbl val="0"/>
      </c:catAx>
      <c:valAx>
        <c:axId val="139031680"/>
        <c:scaling>
          <c:orientation val="minMax"/>
          <c:max val="95"/>
          <c:min val="65"/>
        </c:scaling>
        <c:delete val="0"/>
        <c:axPos val="l"/>
        <c:majorGridlines>
          <c:spPr>
            <a:ln w="15875">
              <a:solidFill>
                <a:srgbClr val="808080"/>
              </a:solidFill>
              <a:prstDash val="solid"/>
            </a:ln>
          </c:spPr>
        </c:majorGridlines>
        <c:min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400" b="1">
                    <a:solidFill>
                      <a:srgbClr val="FF0000"/>
                    </a:solidFill>
                    <a:latin typeface="Arial" pitchFamily="34" charset="0"/>
                    <a:cs typeface="Arial" pitchFamily="34" charset="0"/>
                  </a:rPr>
                  <a:t>Efficiency (%)</a:t>
                </a:r>
              </a:p>
            </c:rich>
          </c:tx>
          <c:layout>
            <c:manualLayout>
              <c:xMode val="edge"/>
              <c:yMode val="edge"/>
              <c:x val="1.2871858674081443E-2"/>
              <c:y val="0.37638177915688398"/>
            </c:manualLayout>
          </c:layout>
          <c:overlay val="0"/>
          <c:spPr>
            <a:noFill/>
            <a:ln w="25400">
              <a:noFill/>
            </a:ln>
          </c:spPr>
        </c:title>
        <c:numFmt formatCode="#,##0" sourceLinked="0"/>
        <c:majorTickMark val="out"/>
        <c:minorTickMark val="out"/>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139009024"/>
        <c:crossesAt val="0"/>
        <c:crossBetween val="between"/>
        <c:majorUnit val="5"/>
        <c:minorUnit val="2.5"/>
      </c:valAx>
      <c:valAx>
        <c:axId val="139033600"/>
        <c:scaling>
          <c:orientation val="minMax"/>
        </c:scaling>
        <c:delete val="0"/>
        <c:axPos val="r"/>
        <c:title>
          <c:tx>
            <c:rich>
              <a:bodyPr rot="-5400000" vert="horz"/>
              <a:lstStyle/>
              <a:p>
                <a:pPr>
                  <a:defRPr sz="1400" b="1">
                    <a:solidFill>
                      <a:srgbClr val="0000FF"/>
                    </a:solidFill>
                  </a:defRPr>
                </a:pPr>
                <a:r>
                  <a:rPr lang="en-US" sz="1400" b="1">
                    <a:solidFill>
                      <a:srgbClr val="0000FF"/>
                    </a:solidFill>
                  </a:rPr>
                  <a:t>Power Loss (mW)</a:t>
                </a:r>
              </a:p>
            </c:rich>
          </c:tx>
          <c:layout>
            <c:manualLayout>
              <c:xMode val="edge"/>
              <c:yMode val="edge"/>
              <c:x val="0.95720616195060426"/>
              <c:y val="0.34716258649486992"/>
            </c:manualLayout>
          </c:layout>
          <c:overlay val="0"/>
        </c:title>
        <c:numFmt formatCode="0" sourceLinked="0"/>
        <c:majorTickMark val="out"/>
        <c:minorTickMark val="none"/>
        <c:tickLblPos val="nextTo"/>
        <c:txPr>
          <a:bodyPr/>
          <a:lstStyle/>
          <a:p>
            <a:pPr>
              <a:defRPr sz="1100" b="1">
                <a:solidFill>
                  <a:srgbClr val="0000FF"/>
                </a:solidFill>
              </a:defRPr>
            </a:pPr>
            <a:endParaRPr lang="ja-JP"/>
          </a:p>
        </c:txPr>
        <c:crossAx val="139035776"/>
        <c:crosses val="max"/>
        <c:crossBetween val="between"/>
      </c:valAx>
      <c:catAx>
        <c:axId val="139035776"/>
        <c:scaling>
          <c:orientation val="minMax"/>
        </c:scaling>
        <c:delete val="1"/>
        <c:axPos val="b"/>
        <c:numFmt formatCode="0.000" sourceLinked="1"/>
        <c:majorTickMark val="out"/>
        <c:minorTickMark val="none"/>
        <c:tickLblPos val="nextTo"/>
        <c:crossAx val="139033600"/>
        <c:crosses val="autoZero"/>
        <c:auto val="1"/>
        <c:lblAlgn val="ctr"/>
        <c:lblOffset val="100"/>
        <c:noMultiLvlLbl val="0"/>
      </c:catAx>
      <c:spPr>
        <a:noFill/>
        <a:ln w="25400">
          <a:noFill/>
        </a:ln>
      </c:spPr>
    </c:plotArea>
    <c:legend>
      <c:legendPos val="t"/>
      <c:layout>
        <c:manualLayout>
          <c:xMode val="edge"/>
          <c:yMode val="edge"/>
          <c:x val="0.38866500767592732"/>
          <c:y val="1.1892546194234431E-2"/>
          <c:w val="0.61133499232407273"/>
          <c:h val="9.7234170816987084E-2"/>
        </c:manualLayout>
      </c:layout>
      <c:overlay val="0"/>
      <c:spPr>
        <a:solidFill>
          <a:srgbClr val="FFFFFF"/>
        </a:solidFill>
        <a:ln w="25400">
          <a:noFill/>
        </a:ln>
      </c:spPr>
      <c:txPr>
        <a:bodyPr/>
        <a:lstStyle/>
        <a:p>
          <a:pPr>
            <a:defRPr sz="12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chemeClr val="bg1"/>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66" r="0.75000000000000666" t="1" header="0.5" footer="0.5"/>
    <c:pageSetup paperSize="5"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pitchFamily="34" charset="0"/>
                <a:ea typeface="Calibri"/>
                <a:cs typeface="Arial" pitchFamily="34" charset="0"/>
              </a:defRPr>
            </a:pPr>
            <a:r>
              <a:rPr lang="en-US" sz="2000">
                <a:latin typeface="Arial" pitchFamily="34" charset="0"/>
                <a:cs typeface="Arial" pitchFamily="34" charset="0"/>
                <a:sym typeface="Symbol"/>
              </a:rPr>
              <a:t></a:t>
            </a:r>
            <a:r>
              <a:rPr lang="en-US" sz="2000" b="1" i="0" u="none" strike="noStrike" baseline="0"/>
              <a:t>, V</a:t>
            </a:r>
            <a:r>
              <a:rPr lang="en-US" sz="2000" b="1" i="0" u="none" strike="noStrike" baseline="-25000"/>
              <a:t>IN</a:t>
            </a:r>
            <a:r>
              <a:rPr lang="en-US" sz="2000" b="1" i="0" u="none" strike="noStrike" baseline="0"/>
              <a:t> = V</a:t>
            </a:r>
            <a:r>
              <a:rPr lang="en-US" sz="2000" b="1" i="0" u="none" strike="noStrike" baseline="-25000"/>
              <a:t>IN(nom)</a:t>
            </a:r>
            <a:endParaRPr lang="en-US" sz="2000">
              <a:latin typeface="Arial" pitchFamily="34" charset="0"/>
              <a:cs typeface="Arial" pitchFamily="34" charset="0"/>
            </a:endParaRPr>
          </a:p>
        </c:rich>
      </c:tx>
      <c:layout>
        <c:manualLayout>
          <c:xMode val="edge"/>
          <c:yMode val="edge"/>
          <c:x val="0.10084794235626206"/>
          <c:y val="2.0639566697272373E-2"/>
        </c:manualLayout>
      </c:layout>
      <c:overlay val="0"/>
      <c:spPr>
        <a:noFill/>
        <a:ln w="25400">
          <a:noFill/>
        </a:ln>
      </c:spPr>
    </c:title>
    <c:autoTitleDeleted val="0"/>
    <c:plotArea>
      <c:layout>
        <c:manualLayout>
          <c:layoutTarget val="inner"/>
          <c:xMode val="edge"/>
          <c:yMode val="edge"/>
          <c:x val="8.5540561846730284E-2"/>
          <c:y val="0.12372903654825702"/>
          <c:w val="0.82265898741455901"/>
          <c:h val="0.76068566810117366"/>
        </c:manualLayout>
      </c:layout>
      <c:scatterChart>
        <c:scatterStyle val="smoothMarker"/>
        <c:varyColors val="0"/>
        <c:ser>
          <c:idx val="0"/>
          <c:order val="0"/>
          <c:tx>
            <c:v> Efficiency</c:v>
          </c:tx>
          <c:spPr>
            <a:ln w="31750">
              <a:solidFill>
                <a:srgbClr val="FF0000"/>
              </a:solidFill>
              <a:prstDash val="solid"/>
            </a:ln>
          </c:spPr>
          <c:marker>
            <c:symbol val="none"/>
          </c:marker>
          <c:xVal>
            <c:numRef>
              <c:f>Parameters!$BN$6:$BN$106</c:f>
              <c:numCache>
                <c:formatCode>0.000</c:formatCode>
                <c:ptCount val="101"/>
                <c:pt idx="0">
                  <c:v>0.4</c:v>
                </c:pt>
                <c:pt idx="1">
                  <c:v>4</c:v>
                </c:pt>
                <c:pt idx="2">
                  <c:v>8</c:v>
                </c:pt>
                <c:pt idx="3">
                  <c:v>12</c:v>
                </c:pt>
                <c:pt idx="100">
                  <c:v>400</c:v>
                </c:pt>
              </c:numCache>
            </c:numRef>
          </c:xVal>
          <c:yVal>
            <c:numRef>
              <c:f>Parameters!$BZ$6:$BZ$106</c:f>
              <c:numCache>
                <c:formatCode>0.00</c:formatCode>
                <c:ptCount val="101"/>
                <c:pt idx="0">
                  <c:v>100</c:v>
                </c:pt>
                <c:pt idx="1">
                  <c:v>100</c:v>
                </c:pt>
                <c:pt idx="2">
                  <c:v>100</c:v>
                </c:pt>
                <c:pt idx="3">
                  <c:v>100</c:v>
                </c:pt>
                <c:pt idx="100">
                  <c:v>100</c:v>
                </c:pt>
              </c:numCache>
            </c:numRef>
          </c:yVal>
          <c:smooth val="1"/>
          <c:extLst>
            <c:ext xmlns:c16="http://schemas.microsoft.com/office/drawing/2014/chart" uri="{C3380CC4-5D6E-409C-BE32-E72D297353CC}">
              <c16:uniqueId val="{00000000-DDEA-44D8-B19E-534BFCE57DF9}"/>
            </c:ext>
          </c:extLst>
        </c:ser>
        <c:dLbls>
          <c:showLegendKey val="0"/>
          <c:showVal val="0"/>
          <c:showCatName val="0"/>
          <c:showSerName val="0"/>
          <c:showPercent val="0"/>
          <c:showBubbleSize val="0"/>
        </c:dLbls>
        <c:axId val="140129408"/>
        <c:axId val="140131328"/>
      </c:scatterChart>
      <c:scatterChart>
        <c:scatterStyle val="smoothMarker"/>
        <c:varyColors val="0"/>
        <c:ser>
          <c:idx val="2"/>
          <c:order val="1"/>
          <c:tx>
            <c:v> IC Total Power Loss</c:v>
          </c:tx>
          <c:spPr>
            <a:ln w="38100">
              <a:solidFill>
                <a:srgbClr val="808000"/>
              </a:solidFill>
              <a:prstDash val="sysDash"/>
            </a:ln>
          </c:spPr>
          <c:marker>
            <c:symbol val="none"/>
          </c:marker>
          <c:xVal>
            <c:numRef>
              <c:f>Parameters!$BN$6:$BN$106</c:f>
              <c:numCache>
                <c:formatCode>0.000</c:formatCode>
                <c:ptCount val="101"/>
                <c:pt idx="0">
                  <c:v>0.4</c:v>
                </c:pt>
                <c:pt idx="1">
                  <c:v>4</c:v>
                </c:pt>
                <c:pt idx="2">
                  <c:v>8</c:v>
                </c:pt>
                <c:pt idx="3">
                  <c:v>12</c:v>
                </c:pt>
                <c:pt idx="100">
                  <c:v>400</c:v>
                </c:pt>
              </c:numCache>
            </c:numRef>
          </c:xVal>
          <c:yVal>
            <c:numRef>
              <c:f>Parameters!$CA$6:$CA$106</c:f>
              <c:numCache>
                <c:formatCode>0.00</c:formatCode>
                <c:ptCount val="101"/>
                <c:pt idx="0">
                  <c:v>0</c:v>
                </c:pt>
                <c:pt idx="1">
                  <c:v>0</c:v>
                </c:pt>
                <c:pt idx="2">
                  <c:v>0</c:v>
                </c:pt>
                <c:pt idx="3">
                  <c:v>0</c:v>
                </c:pt>
                <c:pt idx="100">
                  <c:v>0</c:v>
                </c:pt>
              </c:numCache>
            </c:numRef>
          </c:yVal>
          <c:smooth val="1"/>
          <c:extLst>
            <c:ext xmlns:c16="http://schemas.microsoft.com/office/drawing/2014/chart" uri="{C3380CC4-5D6E-409C-BE32-E72D297353CC}">
              <c16:uniqueId val="{00000001-DDEA-44D8-B19E-534BFCE57DF9}"/>
            </c:ext>
          </c:extLst>
        </c:ser>
        <c:ser>
          <c:idx val="1"/>
          <c:order val="2"/>
          <c:tx>
            <c:v> LDO + Quiescent Loss</c:v>
          </c:tx>
          <c:spPr>
            <a:ln w="38100">
              <a:solidFill>
                <a:srgbClr val="002060"/>
              </a:solidFill>
              <a:prstDash val="sysDot"/>
            </a:ln>
          </c:spPr>
          <c:marker>
            <c:symbol val="none"/>
          </c:marker>
          <c:xVal>
            <c:numRef>
              <c:f>Parameters!$BN$6:$BN$106</c:f>
              <c:numCache>
                <c:formatCode>0.000</c:formatCode>
                <c:ptCount val="101"/>
                <c:pt idx="0">
                  <c:v>0.4</c:v>
                </c:pt>
                <c:pt idx="1">
                  <c:v>4</c:v>
                </c:pt>
                <c:pt idx="2">
                  <c:v>8</c:v>
                </c:pt>
                <c:pt idx="3">
                  <c:v>12</c:v>
                </c:pt>
                <c:pt idx="100">
                  <c:v>400</c:v>
                </c:pt>
              </c:numCache>
            </c:numRef>
          </c:xVal>
          <c:yVal>
            <c:numRef>
              <c:f>Parameters!$CB$6:$CB$106</c:f>
              <c:numCache>
                <c:formatCode>0.00</c:formatCode>
                <c:ptCount val="101"/>
                <c:pt idx="0">
                  <c:v>0</c:v>
                </c:pt>
                <c:pt idx="1">
                  <c:v>0</c:v>
                </c:pt>
                <c:pt idx="2">
                  <c:v>0</c:v>
                </c:pt>
                <c:pt idx="3">
                  <c:v>0</c:v>
                </c:pt>
                <c:pt idx="100">
                  <c:v>0</c:v>
                </c:pt>
              </c:numCache>
            </c:numRef>
          </c:yVal>
          <c:smooth val="1"/>
          <c:extLst>
            <c:ext xmlns:c16="http://schemas.microsoft.com/office/drawing/2014/chart" uri="{C3380CC4-5D6E-409C-BE32-E72D297353CC}">
              <c16:uniqueId val="{00000002-DDEA-44D8-B19E-534BFCE57DF9}"/>
            </c:ext>
          </c:extLst>
        </c:ser>
        <c:ser>
          <c:idx val="3"/>
          <c:order val="3"/>
          <c:tx>
            <c:v> Inductor Loss</c:v>
          </c:tx>
          <c:spPr>
            <a:ln w="38100">
              <a:solidFill>
                <a:srgbClr val="800080"/>
              </a:solidFill>
              <a:prstDash val="dash"/>
            </a:ln>
          </c:spPr>
          <c:marker>
            <c:symbol val="none"/>
          </c:marker>
          <c:xVal>
            <c:numRef>
              <c:f>Parameters!$BN$6:$BN$106</c:f>
              <c:numCache>
                <c:formatCode>0.000</c:formatCode>
                <c:ptCount val="101"/>
                <c:pt idx="0">
                  <c:v>0.4</c:v>
                </c:pt>
                <c:pt idx="1">
                  <c:v>4</c:v>
                </c:pt>
                <c:pt idx="2">
                  <c:v>8</c:v>
                </c:pt>
                <c:pt idx="3">
                  <c:v>12</c:v>
                </c:pt>
                <c:pt idx="100">
                  <c:v>400</c:v>
                </c:pt>
              </c:numCache>
            </c:numRef>
          </c:xVal>
          <c:yVal>
            <c:numRef>
              <c:f>Parameters!$CC$6:$CC$106</c:f>
              <c:numCache>
                <c:formatCode>0.00</c:formatCode>
                <c:ptCount val="101"/>
                <c:pt idx="0">
                  <c:v>0</c:v>
                </c:pt>
                <c:pt idx="1">
                  <c:v>0</c:v>
                </c:pt>
                <c:pt idx="2">
                  <c:v>0</c:v>
                </c:pt>
                <c:pt idx="3">
                  <c:v>0</c:v>
                </c:pt>
                <c:pt idx="100">
                  <c:v>0</c:v>
                </c:pt>
              </c:numCache>
            </c:numRef>
          </c:yVal>
          <c:smooth val="1"/>
          <c:extLst>
            <c:ext xmlns:c16="http://schemas.microsoft.com/office/drawing/2014/chart" uri="{C3380CC4-5D6E-409C-BE32-E72D297353CC}">
              <c16:uniqueId val="{00000003-DDEA-44D8-B19E-534BFCE57DF9}"/>
            </c:ext>
          </c:extLst>
        </c:ser>
        <c:dLbls>
          <c:showLegendKey val="0"/>
          <c:showVal val="0"/>
          <c:showCatName val="0"/>
          <c:showSerName val="0"/>
          <c:showPercent val="0"/>
          <c:showBubbleSize val="0"/>
        </c:dLbls>
        <c:axId val="140139520"/>
        <c:axId val="140137600"/>
      </c:scatterChart>
      <c:valAx>
        <c:axId val="140129408"/>
        <c:scaling>
          <c:logBase val="10"/>
          <c:orientation val="minMax"/>
          <c:min val="0.1"/>
        </c:scaling>
        <c:delete val="0"/>
        <c:axPos val="b"/>
        <c:majorGridlines>
          <c:spPr>
            <a:ln w="15875">
              <a:solidFill>
                <a:srgbClr val="969696"/>
              </a:solidFill>
              <a:prstDash val="sysDash"/>
            </a:ln>
          </c:spPr>
        </c:majorGridlines>
        <c:title>
          <c:tx>
            <c:rich>
              <a:bodyPr/>
              <a:lstStyle/>
              <a:p>
                <a:pPr>
                  <a:defRPr sz="1300" b="1" i="0" u="none" strike="noStrike" baseline="0">
                    <a:solidFill>
                      <a:sysClr val="windowText" lastClr="000000"/>
                    </a:solidFill>
                    <a:latin typeface="Arial" pitchFamily="34" charset="0"/>
                    <a:ea typeface="Calibri"/>
                    <a:cs typeface="Arial" pitchFamily="34" charset="0"/>
                  </a:defRPr>
                </a:pPr>
                <a:r>
                  <a:rPr lang="en-US" sz="1300">
                    <a:solidFill>
                      <a:sysClr val="windowText" lastClr="000000"/>
                    </a:solidFill>
                    <a:latin typeface="Arial" pitchFamily="34" charset="0"/>
                    <a:cs typeface="Arial" pitchFamily="34" charset="0"/>
                  </a:rPr>
                  <a:t>Load Current (mA)</a:t>
                </a:r>
              </a:p>
            </c:rich>
          </c:tx>
          <c:layout>
            <c:manualLayout>
              <c:xMode val="edge"/>
              <c:yMode val="edge"/>
              <c:x val="0.41625343343709942"/>
              <c:y val="0.94571913573731337"/>
            </c:manualLayout>
          </c:layout>
          <c:overlay val="0"/>
          <c:spPr>
            <a:noFill/>
            <a:ln w="25400">
              <a:noFill/>
            </a:ln>
          </c:spPr>
        </c:title>
        <c:numFmt formatCode="General" sourceLinked="0"/>
        <c:majorTickMark val="in"/>
        <c:minorTickMark val="none"/>
        <c:tickLblPos val="nextTo"/>
        <c:spPr>
          <a:ln w="3175">
            <a:solidFill>
              <a:srgbClr val="000000"/>
            </a:solidFill>
            <a:prstDash val="solid"/>
          </a:ln>
        </c:spPr>
        <c:txPr>
          <a:bodyPr rot="0" vert="horz"/>
          <a:lstStyle/>
          <a:p>
            <a:pPr>
              <a:defRPr sz="1100" b="1" i="0" u="none" strike="noStrike" baseline="0">
                <a:solidFill>
                  <a:srgbClr val="000000"/>
                </a:solidFill>
                <a:latin typeface="Arial" pitchFamily="34" charset="0"/>
                <a:ea typeface="Calibri"/>
                <a:cs typeface="Arial" pitchFamily="34" charset="0"/>
              </a:defRPr>
            </a:pPr>
            <a:endParaRPr lang="ja-JP"/>
          </a:p>
        </c:txPr>
        <c:crossAx val="140131328"/>
        <c:crosses val="autoZero"/>
        <c:crossBetween val="midCat"/>
      </c:valAx>
      <c:valAx>
        <c:axId val="140131328"/>
        <c:scaling>
          <c:orientation val="minMax"/>
          <c:max val="95"/>
          <c:min val="60"/>
        </c:scaling>
        <c:delete val="0"/>
        <c:axPos val="l"/>
        <c:majorGridlines>
          <c:spPr>
            <a:ln w="15875">
              <a:solidFill>
                <a:srgbClr val="808080"/>
              </a:solidFill>
              <a:prstDash val="solid"/>
            </a:ln>
          </c:spPr>
        </c:majorGridlines>
        <c:min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400" b="1">
                    <a:solidFill>
                      <a:srgbClr val="FF0000"/>
                    </a:solidFill>
                    <a:latin typeface="Arial" pitchFamily="34" charset="0"/>
                    <a:cs typeface="Arial" pitchFamily="34" charset="0"/>
                  </a:rPr>
                  <a:t>Efficiency (%)</a:t>
                </a:r>
              </a:p>
            </c:rich>
          </c:tx>
          <c:layout>
            <c:manualLayout>
              <c:xMode val="edge"/>
              <c:yMode val="edge"/>
              <c:x val="1.2871858674081443E-2"/>
              <c:y val="0.37638177915688398"/>
            </c:manualLayout>
          </c:layout>
          <c:overlay val="0"/>
          <c:spPr>
            <a:noFill/>
            <a:ln w="25400">
              <a:noFill/>
            </a:ln>
          </c:spPr>
        </c:title>
        <c:numFmt formatCode="#,##0" sourceLinked="0"/>
        <c:majorTickMark val="out"/>
        <c:minorTickMark val="out"/>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140129408"/>
        <c:crossesAt val="0"/>
        <c:crossBetween val="midCat"/>
        <c:majorUnit val="5"/>
        <c:minorUnit val="2.5"/>
      </c:valAx>
      <c:valAx>
        <c:axId val="140137600"/>
        <c:scaling>
          <c:orientation val="minMax"/>
        </c:scaling>
        <c:delete val="0"/>
        <c:axPos val="r"/>
        <c:title>
          <c:tx>
            <c:rich>
              <a:bodyPr rot="-5400000" vert="horz"/>
              <a:lstStyle/>
              <a:p>
                <a:pPr>
                  <a:defRPr sz="1400" b="1">
                    <a:solidFill>
                      <a:srgbClr val="0000FF"/>
                    </a:solidFill>
                  </a:defRPr>
                </a:pPr>
                <a:r>
                  <a:rPr lang="en-US" sz="1400" b="1">
                    <a:solidFill>
                      <a:srgbClr val="0000FF"/>
                    </a:solidFill>
                  </a:rPr>
                  <a:t>Power Loss (mW)</a:t>
                </a:r>
              </a:p>
            </c:rich>
          </c:tx>
          <c:layout>
            <c:manualLayout>
              <c:xMode val="edge"/>
              <c:yMode val="edge"/>
              <c:x val="0.95563568688189593"/>
              <c:y val="0.33988985922214265"/>
            </c:manualLayout>
          </c:layout>
          <c:overlay val="0"/>
        </c:title>
        <c:numFmt formatCode="0" sourceLinked="0"/>
        <c:majorTickMark val="out"/>
        <c:minorTickMark val="none"/>
        <c:tickLblPos val="nextTo"/>
        <c:txPr>
          <a:bodyPr/>
          <a:lstStyle/>
          <a:p>
            <a:pPr>
              <a:defRPr sz="1100" b="1">
                <a:solidFill>
                  <a:srgbClr val="0000FF"/>
                </a:solidFill>
              </a:defRPr>
            </a:pPr>
            <a:endParaRPr lang="ja-JP"/>
          </a:p>
        </c:txPr>
        <c:crossAx val="140139520"/>
        <c:crosses val="max"/>
        <c:crossBetween val="midCat"/>
      </c:valAx>
      <c:valAx>
        <c:axId val="140139520"/>
        <c:scaling>
          <c:logBase val="10"/>
          <c:orientation val="minMax"/>
        </c:scaling>
        <c:delete val="1"/>
        <c:axPos val="b"/>
        <c:numFmt formatCode="0.000" sourceLinked="1"/>
        <c:majorTickMark val="out"/>
        <c:minorTickMark val="none"/>
        <c:tickLblPos val="nextTo"/>
        <c:crossAx val="140137600"/>
        <c:crosses val="autoZero"/>
        <c:crossBetween val="midCat"/>
      </c:valAx>
      <c:spPr>
        <a:noFill/>
        <a:ln w="25400">
          <a:noFill/>
        </a:ln>
      </c:spPr>
    </c:plotArea>
    <c:legend>
      <c:legendPos val="t"/>
      <c:layout>
        <c:manualLayout>
          <c:xMode val="edge"/>
          <c:yMode val="edge"/>
          <c:x val="0.38866500344700727"/>
          <c:y val="1.1892546194234431E-2"/>
          <c:w val="0.61133499655299273"/>
          <c:h val="9.2790073968026715E-2"/>
        </c:manualLayout>
      </c:layout>
      <c:overlay val="0"/>
      <c:spPr>
        <a:solidFill>
          <a:srgbClr val="FFFFFF"/>
        </a:solidFill>
        <a:ln w="25400">
          <a:noFill/>
        </a:ln>
      </c:spPr>
      <c:txPr>
        <a:bodyPr/>
        <a:lstStyle/>
        <a:p>
          <a:pPr>
            <a:defRPr sz="12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chemeClr val="bg1"/>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66" r="0.75000000000000666" t="1" header="0.5" footer="0.5"/>
    <c:pageSetup paperSize="5" orientation="portrait"/>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t>Breakdown of </a:t>
            </a:r>
            <a:r>
              <a:rPr lang="en-US" sz="1800" b="1" i="0" baseline="0">
                <a:solidFill>
                  <a:srgbClr val="FF0000"/>
                </a:solidFill>
              </a:rPr>
              <a:t>COT</a:t>
            </a:r>
            <a:r>
              <a:rPr lang="en-US" sz="1800" b="1" i="0" baseline="0"/>
              <a:t> Efficiency Losses (</a:t>
            </a:r>
            <a:r>
              <a:rPr lang="en-US" sz="1800" b="1" i="0" u="none" strike="noStrike" baseline="0"/>
              <a:t>I</a:t>
            </a:r>
            <a:r>
              <a:rPr lang="en-US" sz="1800" b="1" i="0" u="none" strike="noStrike" baseline="-25000"/>
              <a:t>OUT</a:t>
            </a:r>
            <a:r>
              <a:rPr lang="en-US" sz="1800" b="1" i="0" u="none" strike="noStrike" baseline="0"/>
              <a:t> = </a:t>
            </a:r>
            <a:r>
              <a:rPr lang="en-US" sz="1800" b="1" i="0" baseline="0"/>
              <a:t>1mA)</a:t>
            </a:r>
            <a:endParaRPr lang="en-US" sz="1800"/>
          </a:p>
        </c:rich>
      </c:tx>
      <c:layout>
        <c:manualLayout>
          <c:xMode val="edge"/>
          <c:yMode val="edge"/>
          <c:x val="0.32963167587477016"/>
          <c:y val="3.5906642728904876E-2"/>
        </c:manualLayout>
      </c:layout>
      <c:overlay val="0"/>
    </c:title>
    <c:autoTitleDeleted val="0"/>
    <c:plotArea>
      <c:layout>
        <c:manualLayout>
          <c:layoutTarget val="inner"/>
          <c:xMode val="edge"/>
          <c:yMode val="edge"/>
          <c:x val="9.2844202898550721E-2"/>
          <c:y val="0.14821658962288614"/>
          <c:w val="0.89442960513913661"/>
          <c:h val="0.76382419881536368"/>
        </c:manualLayout>
      </c:layout>
      <c:barChart>
        <c:barDir val="col"/>
        <c:grouping val="clustered"/>
        <c:varyColors val="0"/>
        <c:ser>
          <c:idx val="6"/>
          <c:order val="0"/>
          <c:tx>
            <c:strRef>
              <c:f>Parameters!$BA$5</c:f>
              <c:strCache>
                <c:ptCount val="1"/>
                <c:pt idx="0">
                  <c:v>High-side MOSFET Rdson %</c:v>
                </c:pt>
              </c:strCache>
            </c:strRef>
          </c:tx>
          <c:spPr>
            <a:solidFill>
              <a:srgbClr val="FF0000"/>
            </a:solidFill>
            <a:ln w="12700">
              <a:solidFill>
                <a:srgbClr val="000000"/>
              </a:solidFill>
              <a:prstDash val="solid"/>
            </a:ln>
          </c:spPr>
          <c:invertIfNegative val="0"/>
          <c:dLbls>
            <c:dLbl>
              <c:idx val="0"/>
              <c:tx>
                <c:rich>
                  <a:bodyPr/>
                  <a:lstStyle/>
                  <a:p>
                    <a:r>
                      <a:rPr lang="en-US"/>
                      <a:t>High-side MOSFET</a:t>
                    </a:r>
                  </a:p>
                  <a:p>
                    <a:r>
                      <a:rPr lang="en-US"/>
                      <a:t>Rdson</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250-45F1-AFA5-995B465DE345}"/>
                </c:ext>
              </c:extLst>
            </c:dLbl>
            <c:spPr>
              <a:noFill/>
              <a:ln>
                <a:noFill/>
              </a:ln>
              <a:effectLst/>
            </c:spPr>
            <c:txPr>
              <a:bodyPr/>
              <a:lstStyle/>
              <a:p>
                <a:pPr>
                  <a:defRPr sz="1200" b="1"/>
                </a:pPr>
                <a:endParaRPr lang="ja-JP"/>
              </a:p>
            </c:txPr>
            <c:dLblPos val="out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Parameters!$BA$108</c:f>
              <c:numCache>
                <c:formatCode>0.000%</c:formatCode>
                <c:ptCount val="1"/>
                <c:pt idx="0">
                  <c:v>3.6409104085968987E-3</c:v>
                </c:pt>
              </c:numCache>
            </c:numRef>
          </c:val>
          <c:extLst>
            <c:ext xmlns:c16="http://schemas.microsoft.com/office/drawing/2014/chart" uri="{C3380CC4-5D6E-409C-BE32-E72D297353CC}">
              <c16:uniqueId val="{00000001-2250-45F1-AFA5-995B465DE345}"/>
            </c:ext>
          </c:extLst>
        </c:ser>
        <c:ser>
          <c:idx val="5"/>
          <c:order val="1"/>
          <c:tx>
            <c:strRef>
              <c:f>Parameters!$BD$5</c:f>
              <c:strCache>
                <c:ptCount val="1"/>
                <c:pt idx="0">
                  <c:v>High-side MOSFET Switching Loss %</c:v>
                </c:pt>
              </c:strCache>
            </c:strRef>
          </c:tx>
          <c:spPr>
            <a:solidFill>
              <a:srgbClr val="0000FF"/>
            </a:solidFill>
            <a:ln w="12700">
              <a:solidFill>
                <a:srgbClr val="000000"/>
              </a:solidFill>
              <a:prstDash val="solid"/>
            </a:ln>
          </c:spPr>
          <c:invertIfNegative val="0"/>
          <c:dLbls>
            <c:dLbl>
              <c:idx val="0"/>
              <c:layout>
                <c:manualLayout>
                  <c:x val="-9.2081031307550637E-4"/>
                  <c:y val="-7.1813285457809741E-3"/>
                </c:manualLayout>
              </c:layout>
              <c:tx>
                <c:rich>
                  <a:bodyPr/>
                  <a:lstStyle/>
                  <a:p>
                    <a:r>
                      <a:rPr lang="en-US"/>
                      <a:t>High-side MOSFET</a:t>
                    </a:r>
                  </a:p>
                  <a:p>
                    <a:r>
                      <a:rPr lang="en-US"/>
                      <a:t>Switching</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250-45F1-AFA5-995B465DE345}"/>
                </c:ext>
              </c:extLst>
            </c:dLbl>
            <c:spPr>
              <a:noFill/>
              <a:ln>
                <a:noFill/>
              </a:ln>
              <a:effectLst/>
            </c:spPr>
            <c:txPr>
              <a:bodyPr/>
              <a:lstStyle/>
              <a:p>
                <a:pPr>
                  <a:defRPr sz="1200" b="1"/>
                </a:pPr>
                <a:endParaRPr lang="ja-JP"/>
              </a:p>
            </c:txPr>
            <c:dLblPos val="outEnd"/>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Parameters!$BD$108</c:f>
              <c:numCache>
                <c:formatCode>0.000%</c:formatCode>
                <c:ptCount val="1"/>
                <c:pt idx="0">
                  <c:v>4.5907837520612008E-3</c:v>
                </c:pt>
              </c:numCache>
            </c:numRef>
          </c:val>
          <c:extLst>
            <c:ext xmlns:c16="http://schemas.microsoft.com/office/drawing/2014/chart" uri="{C3380CC4-5D6E-409C-BE32-E72D297353CC}">
              <c16:uniqueId val="{00000003-2250-45F1-AFA5-995B465DE345}"/>
            </c:ext>
          </c:extLst>
        </c:ser>
        <c:ser>
          <c:idx val="7"/>
          <c:order val="2"/>
          <c:tx>
            <c:strRef>
              <c:f>Parameters!$BB$5</c:f>
              <c:strCache>
                <c:ptCount val="1"/>
                <c:pt idx="0">
                  <c:v>Low-side MOSFET Rdson %</c:v>
                </c:pt>
              </c:strCache>
            </c:strRef>
          </c:tx>
          <c:spPr>
            <a:solidFill>
              <a:srgbClr val="FF6600"/>
            </a:solidFill>
            <a:ln w="12700">
              <a:solidFill>
                <a:srgbClr val="000000"/>
              </a:solidFill>
              <a:prstDash val="solid"/>
            </a:ln>
          </c:spPr>
          <c:invertIfNegative val="0"/>
          <c:dLbls>
            <c:dLbl>
              <c:idx val="0"/>
              <c:tx>
                <c:rich>
                  <a:bodyPr/>
                  <a:lstStyle/>
                  <a:p>
                    <a:r>
                      <a:rPr lang="en-US" sz="1200" b="1"/>
                      <a:t>L</a:t>
                    </a:r>
                    <a:r>
                      <a:rPr lang="en-US" sz="1200"/>
                      <a:t>ow-side MOSFET</a:t>
                    </a:r>
                  </a:p>
                  <a:p>
                    <a:r>
                      <a:rPr lang="en-US" sz="1200"/>
                      <a:t>Rdson</a:t>
                    </a:r>
                  </a:p>
                </c:rich>
              </c:tx>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250-45F1-AFA5-995B465DE345}"/>
                </c:ext>
              </c:extLst>
            </c:dLbl>
            <c:spPr>
              <a:noFill/>
              <a:ln>
                <a:noFill/>
              </a:ln>
              <a:effectLst/>
            </c:spPr>
            <c:txPr>
              <a:bodyPr/>
              <a:lstStyle/>
              <a:p>
                <a:pPr>
                  <a:defRPr b="1"/>
                </a:pPr>
                <a:endParaRPr lang="ja-JP"/>
              </a:p>
            </c:txPr>
            <c:dLblPos val="outEnd"/>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val>
            <c:numRef>
              <c:f>Parameters!$BB$108</c:f>
              <c:numCache>
                <c:formatCode>0.000%</c:formatCode>
                <c:ptCount val="1"/>
                <c:pt idx="0">
                  <c:v>6.5692245841190103E-3</c:v>
                </c:pt>
              </c:numCache>
            </c:numRef>
          </c:val>
          <c:extLst>
            <c:ext xmlns:c16="http://schemas.microsoft.com/office/drawing/2014/chart" uri="{C3380CC4-5D6E-409C-BE32-E72D297353CC}">
              <c16:uniqueId val="{00000005-2250-45F1-AFA5-995B465DE345}"/>
            </c:ext>
          </c:extLst>
        </c:ser>
        <c:ser>
          <c:idx val="3"/>
          <c:order val="3"/>
          <c:tx>
            <c:strRef>
              <c:f>Parameters!$BF$5</c:f>
              <c:strCache>
                <c:ptCount val="1"/>
                <c:pt idx="0">
                  <c:v>Deadtime Loss %</c:v>
                </c:pt>
              </c:strCache>
            </c:strRef>
          </c:tx>
          <c:spPr>
            <a:solidFill>
              <a:srgbClr val="666699"/>
            </a:solidFill>
            <a:ln w="12700">
              <a:solidFill>
                <a:srgbClr val="000000"/>
              </a:solidFill>
              <a:prstDash val="solid"/>
            </a:ln>
          </c:spPr>
          <c:invertIfNegative val="0"/>
          <c:dLbls>
            <c:dLbl>
              <c:idx val="0"/>
              <c:layout>
                <c:manualLayout>
                  <c:x val="0"/>
                  <c:y val="-9.5751047277079695E-3"/>
                </c:manualLayout>
              </c:layout>
              <c:tx>
                <c:rich>
                  <a:bodyPr/>
                  <a:lstStyle/>
                  <a:p>
                    <a:r>
                      <a:rPr lang="en-US"/>
                      <a:t>Low-side MOSFET</a:t>
                    </a:r>
                  </a:p>
                  <a:p>
                    <a:r>
                      <a:rPr lang="en-US"/>
                      <a:t>Deadtime </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250-45F1-AFA5-995B465DE345}"/>
                </c:ext>
              </c:extLst>
            </c:dLbl>
            <c:spPr>
              <a:noFill/>
              <a:ln>
                <a:noFill/>
              </a:ln>
              <a:effectLst/>
            </c:spPr>
            <c:txPr>
              <a:bodyPr/>
              <a:lstStyle/>
              <a:p>
                <a:pPr>
                  <a:defRPr sz="1200" b="1"/>
                </a:pPr>
                <a:endParaRPr lang="ja-JP"/>
              </a:p>
            </c:txPr>
            <c:dLblPos val="out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Parameters!$BF$108</c:f>
              <c:numCache>
                <c:formatCode>0.000%</c:formatCode>
                <c:ptCount val="1"/>
                <c:pt idx="0">
                  <c:v>7.3751579484765363E-4</c:v>
                </c:pt>
              </c:numCache>
            </c:numRef>
          </c:val>
          <c:extLst>
            <c:ext xmlns:c16="http://schemas.microsoft.com/office/drawing/2014/chart" uri="{C3380CC4-5D6E-409C-BE32-E72D297353CC}">
              <c16:uniqueId val="{00000007-2250-45F1-AFA5-995B465DE345}"/>
            </c:ext>
          </c:extLst>
        </c:ser>
        <c:ser>
          <c:idx val="2"/>
          <c:order val="4"/>
          <c:tx>
            <c:strRef>
              <c:f>Parameters!$BC$5</c:f>
              <c:strCache>
                <c:ptCount val="1"/>
                <c:pt idx="0">
                  <c:v>Gate Drive (Qg) Loss from Vin %</c:v>
                </c:pt>
              </c:strCache>
            </c:strRef>
          </c:tx>
          <c:spPr>
            <a:solidFill>
              <a:srgbClr val="00FFFF"/>
            </a:solidFill>
            <a:ln w="12700">
              <a:solidFill>
                <a:srgbClr val="000000"/>
              </a:solidFill>
              <a:prstDash val="solid"/>
            </a:ln>
          </c:spPr>
          <c:invertIfNegative val="0"/>
          <c:dLbls>
            <c:dLbl>
              <c:idx val="0"/>
              <c:tx>
                <c:rich>
                  <a:bodyPr/>
                  <a:lstStyle/>
                  <a:p>
                    <a:r>
                      <a:rPr lang="en-US"/>
                      <a:t>Gate Drive (Qg)</a:t>
                    </a:r>
                  </a:p>
                  <a:p>
                    <a:r>
                      <a:rPr lang="en-US"/>
                      <a:t>Loss</a:t>
                    </a:r>
                  </a:p>
                </c:rich>
              </c:tx>
              <c:dLblPos val="outEnd"/>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250-45F1-AFA5-995B465DE345}"/>
                </c:ext>
              </c:extLst>
            </c:dLbl>
            <c:spPr>
              <a:noFill/>
              <a:ln>
                <a:noFill/>
              </a:ln>
              <a:effectLst/>
            </c:spPr>
            <c:txPr>
              <a:bodyPr rot="0" vert="horz"/>
              <a:lstStyle/>
              <a:p>
                <a:pPr>
                  <a:defRPr sz="1200" b="1"/>
                </a:pPr>
                <a:endParaRPr lang="ja-JP"/>
              </a:p>
            </c:txPr>
            <c:dLblPos val="outEnd"/>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Parameters!$BC$108</c:f>
              <c:numCache>
                <c:formatCode>0.000%</c:formatCode>
                <c:ptCount val="1"/>
                <c:pt idx="0">
                  <c:v>5.4394694205683519E-2</c:v>
                </c:pt>
              </c:numCache>
            </c:numRef>
          </c:val>
          <c:extLst>
            <c:ext xmlns:c16="http://schemas.microsoft.com/office/drawing/2014/chart" uri="{C3380CC4-5D6E-409C-BE32-E72D297353CC}">
              <c16:uniqueId val="{00000009-2250-45F1-AFA5-995B465DE345}"/>
            </c:ext>
          </c:extLst>
        </c:ser>
        <c:ser>
          <c:idx val="1"/>
          <c:order val="5"/>
          <c:tx>
            <c:strRef>
              <c:f>Parameters!$BE$5</c:f>
              <c:strCache>
                <c:ptCount val="1"/>
                <c:pt idx="0">
                  <c:v>Reverse Recovery &amp; Leakage Loss %</c:v>
                </c:pt>
              </c:strCache>
            </c:strRef>
          </c:tx>
          <c:invertIfNegative val="0"/>
          <c:dLbls>
            <c:dLbl>
              <c:idx val="0"/>
              <c:tx>
                <c:rich>
                  <a:bodyPr/>
                  <a:lstStyle/>
                  <a:p>
                    <a:r>
                      <a:rPr lang="en-US" sz="1200" b="1"/>
                      <a:t>Reverse Recovery</a:t>
                    </a:r>
                  </a:p>
                  <a:p>
                    <a:r>
                      <a:rPr lang="en-US" sz="1200" b="1"/>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250-45F1-AFA5-995B465DE345}"/>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Parameters!$BE$108</c:f>
              <c:numCache>
                <c:formatCode>0.000%</c:formatCode>
                <c:ptCount val="1"/>
                <c:pt idx="0">
                  <c:v>0</c:v>
                </c:pt>
              </c:numCache>
            </c:numRef>
          </c:val>
          <c:extLst>
            <c:ext xmlns:c16="http://schemas.microsoft.com/office/drawing/2014/chart" uri="{C3380CC4-5D6E-409C-BE32-E72D297353CC}">
              <c16:uniqueId val="{0000000B-2250-45F1-AFA5-995B465DE345}"/>
            </c:ext>
          </c:extLst>
        </c:ser>
        <c:ser>
          <c:idx val="8"/>
          <c:order val="6"/>
          <c:tx>
            <c:strRef>
              <c:f>Parameters!$BG$5</c:f>
              <c:strCache>
                <c:ptCount val="1"/>
                <c:pt idx="0">
                  <c:v>Inductor Cu Loss %</c:v>
                </c:pt>
              </c:strCache>
            </c:strRef>
          </c:tx>
          <c:spPr>
            <a:solidFill>
              <a:srgbClr val="00FF00"/>
            </a:solidFill>
            <a:ln w="12700">
              <a:solidFill>
                <a:srgbClr val="000000"/>
              </a:solidFill>
              <a:prstDash val="solid"/>
            </a:ln>
          </c:spPr>
          <c:invertIfNegative val="0"/>
          <c:dLbls>
            <c:dLbl>
              <c:idx val="0"/>
              <c:tx>
                <c:rich>
                  <a:bodyPr/>
                  <a:lstStyle/>
                  <a:p>
                    <a:r>
                      <a:rPr lang="en-US"/>
                      <a:t>Inductor DCR</a:t>
                    </a:r>
                  </a:p>
                  <a:p>
                    <a:r>
                      <a:rPr lang="en-US"/>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250-45F1-AFA5-995B465DE345}"/>
                </c:ext>
              </c:extLst>
            </c:dLbl>
            <c:spPr>
              <a:noFill/>
              <a:ln>
                <a:noFill/>
              </a:ln>
              <a:effectLst/>
            </c:spPr>
            <c:txPr>
              <a:bodyPr/>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Parameters!$BG$108</c:f>
              <c:numCache>
                <c:formatCode>0.000%</c:formatCode>
                <c:ptCount val="1"/>
                <c:pt idx="0">
                  <c:v>7.2151246180390156E-3</c:v>
                </c:pt>
              </c:numCache>
            </c:numRef>
          </c:val>
          <c:extLst>
            <c:ext xmlns:c16="http://schemas.microsoft.com/office/drawing/2014/chart" uri="{C3380CC4-5D6E-409C-BE32-E72D297353CC}">
              <c16:uniqueId val="{0000000D-2250-45F1-AFA5-995B465DE345}"/>
            </c:ext>
          </c:extLst>
        </c:ser>
        <c:ser>
          <c:idx val="4"/>
          <c:order val="7"/>
          <c:tx>
            <c:strRef>
              <c:f>Parameters!$BH$5</c:f>
              <c:strCache>
                <c:ptCount val="1"/>
                <c:pt idx="0">
                  <c:v>Inductor Core Loss %</c:v>
                </c:pt>
              </c:strCache>
            </c:strRef>
          </c:tx>
          <c:spPr>
            <a:solidFill>
              <a:srgbClr val="99CC00"/>
            </a:solidFill>
            <a:ln w="12700">
              <a:solidFill>
                <a:srgbClr val="000000"/>
              </a:solidFill>
              <a:prstDash val="solid"/>
            </a:ln>
          </c:spPr>
          <c:invertIfNegative val="0"/>
          <c:dLbls>
            <c:dLbl>
              <c:idx val="0"/>
              <c:tx>
                <c:rich>
                  <a:bodyPr/>
                  <a:lstStyle/>
                  <a:p>
                    <a:r>
                      <a:rPr lang="en-US"/>
                      <a:t>Inductor Core</a:t>
                    </a:r>
                  </a:p>
                  <a:p>
                    <a:r>
                      <a:rPr lang="en-US"/>
                      <a:t>Loss</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250-45F1-AFA5-995B465DE345}"/>
                </c:ext>
              </c:extLst>
            </c:dLbl>
            <c:spPr>
              <a:noFill/>
              <a:ln>
                <a:noFill/>
              </a:ln>
              <a:effectLst/>
            </c:spPr>
            <c:txPr>
              <a:bodyPr/>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Parameters!$BH$108</c:f>
              <c:numCache>
                <c:formatCode>0.000%</c:formatCode>
                <c:ptCount val="1"/>
                <c:pt idx="0">
                  <c:v>1.4929120352630757E-2</c:v>
                </c:pt>
              </c:numCache>
            </c:numRef>
          </c:val>
          <c:extLst>
            <c:ext xmlns:c16="http://schemas.microsoft.com/office/drawing/2014/chart" uri="{C3380CC4-5D6E-409C-BE32-E72D297353CC}">
              <c16:uniqueId val="{0000000F-2250-45F1-AFA5-995B465DE345}"/>
            </c:ext>
          </c:extLst>
        </c:ser>
        <c:ser>
          <c:idx val="0"/>
          <c:order val="8"/>
          <c:tx>
            <c:strRef>
              <c:f>Parameters!$BJ$5</c:f>
              <c:strCache>
                <c:ptCount val="1"/>
                <c:pt idx="0">
                  <c:v>Quiescent Current Loss %</c:v>
                </c:pt>
              </c:strCache>
            </c:strRef>
          </c:tx>
          <c:invertIfNegative val="0"/>
          <c:dLbls>
            <c:dLbl>
              <c:idx val="0"/>
              <c:tx>
                <c:rich>
                  <a:bodyPr/>
                  <a:lstStyle/>
                  <a:p>
                    <a:r>
                      <a:rPr lang="en-US"/>
                      <a:t>Quiescent Current</a:t>
                    </a:r>
                  </a:p>
                  <a:p>
                    <a:r>
                      <a:rPr lang="en-US"/>
                      <a:t>Loss </a:t>
                    </a:r>
                  </a:p>
                </c:rich>
              </c:tx>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2250-45F1-AFA5-995B465DE345}"/>
                </c:ext>
              </c:extLst>
            </c:dLbl>
            <c:numFmt formatCode="0.0E+00" sourceLinked="0"/>
            <c:spPr>
              <a:noFill/>
            </c:spPr>
            <c:txPr>
              <a:bodyPr rot="0" vert="horz" anchor="ctr" anchorCtr="0"/>
              <a:lstStyle/>
              <a:p>
                <a:pPr>
                  <a:defRPr sz="1200" b="1"/>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Parameters!$BJ$108</c:f>
              <c:numCache>
                <c:formatCode>0.000%</c:formatCode>
                <c:ptCount val="1"/>
                <c:pt idx="0">
                  <c:v>8.2551506228875166E-2</c:v>
                </c:pt>
              </c:numCache>
            </c:numRef>
          </c:val>
          <c:extLst>
            <c:ext xmlns:c16="http://schemas.microsoft.com/office/drawing/2014/chart" uri="{C3380CC4-5D6E-409C-BE32-E72D297353CC}">
              <c16:uniqueId val="{00000011-2250-45F1-AFA5-995B465DE345}"/>
            </c:ext>
          </c:extLst>
        </c:ser>
        <c:dLbls>
          <c:showLegendKey val="0"/>
          <c:showVal val="0"/>
          <c:showCatName val="0"/>
          <c:showSerName val="0"/>
          <c:showPercent val="0"/>
          <c:showBubbleSize val="0"/>
        </c:dLbls>
        <c:gapWidth val="101"/>
        <c:overlap val="-70"/>
        <c:axId val="140777344"/>
        <c:axId val="140778880"/>
      </c:barChart>
      <c:catAx>
        <c:axId val="140777344"/>
        <c:scaling>
          <c:orientation val="minMax"/>
        </c:scaling>
        <c:delete val="0"/>
        <c:axPos val="b"/>
        <c:numFmt formatCode="General" sourceLinked="1"/>
        <c:majorTickMark val="none"/>
        <c:minorTickMark val="none"/>
        <c:tickLblPos val="none"/>
        <c:spPr>
          <a:ln w="3175">
            <a:solidFill>
              <a:srgbClr val="000000"/>
            </a:solidFill>
            <a:prstDash val="solid"/>
          </a:ln>
        </c:spPr>
        <c:txPr>
          <a:bodyPr rot="0" vert="horz"/>
          <a:lstStyle/>
          <a:p>
            <a:pPr>
              <a:defRPr sz="1725" b="0" i="0" u="none" strike="noStrike" baseline="0">
                <a:solidFill>
                  <a:srgbClr val="000000"/>
                </a:solidFill>
                <a:latin typeface="Arial"/>
                <a:ea typeface="Arial"/>
                <a:cs typeface="Arial"/>
              </a:defRPr>
            </a:pPr>
            <a:endParaRPr lang="ja-JP"/>
          </a:p>
        </c:txPr>
        <c:crossAx val="140778880"/>
        <c:crossesAt val="0"/>
        <c:auto val="1"/>
        <c:lblAlgn val="ctr"/>
        <c:lblOffset val="100"/>
        <c:noMultiLvlLbl val="0"/>
      </c:catAx>
      <c:valAx>
        <c:axId val="140778880"/>
        <c:scaling>
          <c:orientation val="minMax"/>
          <c:min val="0"/>
        </c:scaling>
        <c:delete val="0"/>
        <c:axPos val="l"/>
        <c:majorGridlines>
          <c:spPr>
            <a:ln>
              <a:prstDash val="lgDash"/>
            </a:ln>
          </c:spPr>
        </c:majorGridlines>
        <c:title>
          <c:tx>
            <c:rich>
              <a:bodyPr/>
              <a:lstStyle/>
              <a:p>
                <a:pPr>
                  <a:defRPr b="1"/>
                </a:pPr>
                <a:r>
                  <a:rPr lang="en-US" b="1"/>
                  <a:t>Loss</a:t>
                </a:r>
                <a:r>
                  <a:rPr lang="en-US" b="1" baseline="0"/>
                  <a:t> Contributors</a:t>
                </a:r>
                <a:endParaRPr lang="en-US" b="1"/>
              </a:p>
            </c:rich>
          </c:tx>
          <c:layout>
            <c:manualLayout>
              <c:xMode val="edge"/>
              <c:yMode val="edge"/>
              <c:x val="9.9337306593581982E-3"/>
              <c:y val="0.30210944457795558"/>
            </c:manualLayout>
          </c:layout>
          <c:overlay val="0"/>
        </c:title>
        <c:numFmt formatCode="0.0%" sourceLinked="0"/>
        <c:majorTickMark val="out"/>
        <c:minorTickMark val="out"/>
        <c:tickLblPos val="low"/>
        <c:crossAx val="140777344"/>
        <c:crosses val="autoZero"/>
        <c:crossBetween val="between"/>
      </c:valAx>
      <c:spPr>
        <a:solidFill>
          <a:schemeClr val="bg1">
            <a:lumMod val="95000"/>
          </a:schemeClr>
        </a:solidFill>
        <a:ln w="25400">
          <a:noFill/>
        </a:ln>
      </c:spPr>
    </c:plotArea>
    <c:plotVisOnly val="1"/>
    <c:dispBlanksAs val="zero"/>
    <c:showDLblsOverMax val="0"/>
  </c:chart>
  <c:spPr>
    <a:solidFill>
      <a:srgbClr val="FFFFFF"/>
    </a:solidFill>
    <a:ln w="3175">
      <a:noFill/>
      <a:prstDash val="solid"/>
    </a:ln>
  </c:spPr>
  <c:txPr>
    <a:bodyPr/>
    <a:lstStyle/>
    <a:p>
      <a:pPr>
        <a:defRPr sz="1725" b="0" i="0" u="none" strike="noStrike" baseline="0">
          <a:solidFill>
            <a:srgbClr val="000000"/>
          </a:solidFill>
          <a:latin typeface="Arial"/>
          <a:ea typeface="Arial"/>
          <a:cs typeface="Arial"/>
        </a:defRPr>
      </a:pPr>
      <a:endParaRPr lang="ja-JP"/>
    </a:p>
  </c:txPr>
  <c:printSettings>
    <c:headerFooter alignWithMargins="0"/>
    <c:pageMargins b="1" l="0.75000000000000255" r="0.7500000000000025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000000"/>
                </a:solidFill>
                <a:latin typeface="Arial" pitchFamily="34" charset="0"/>
                <a:ea typeface="Calibri"/>
                <a:cs typeface="Arial" pitchFamily="34" charset="0"/>
              </a:defRPr>
            </a:pPr>
            <a:r>
              <a:rPr lang="en-US" sz="1800" b="1" i="0" baseline="0">
                <a:effectLst/>
                <a:sym typeface="Symbol"/>
              </a:rPr>
              <a:t></a:t>
            </a:r>
            <a:r>
              <a:rPr lang="en-US" sz="1800" b="1" i="0" baseline="0">
                <a:effectLst/>
              </a:rPr>
              <a:t>, V</a:t>
            </a:r>
            <a:r>
              <a:rPr lang="en-US" sz="1800" b="1" i="0" baseline="-25000">
                <a:effectLst/>
              </a:rPr>
              <a:t>IN</a:t>
            </a:r>
            <a:r>
              <a:rPr lang="en-US" sz="1800" b="1" i="0" baseline="0">
                <a:effectLst/>
              </a:rPr>
              <a:t> = V</a:t>
            </a:r>
            <a:r>
              <a:rPr lang="en-US" sz="1800" b="1" i="0" baseline="-25000">
                <a:effectLst/>
              </a:rPr>
              <a:t>IN(nom)</a:t>
            </a:r>
            <a:endParaRPr lang="en-US">
              <a:effectLst/>
            </a:endParaRPr>
          </a:p>
        </c:rich>
      </c:tx>
      <c:layout>
        <c:manualLayout>
          <c:xMode val="edge"/>
          <c:yMode val="edge"/>
          <c:x val="8.2586704916618195E-2"/>
          <c:y val="1.8363289746112718E-2"/>
        </c:manualLayout>
      </c:layout>
      <c:overlay val="0"/>
      <c:spPr>
        <a:noFill/>
        <a:ln w="25400">
          <a:noFill/>
        </a:ln>
      </c:spPr>
    </c:title>
    <c:autoTitleDeleted val="0"/>
    <c:plotArea>
      <c:layout>
        <c:manualLayout>
          <c:layoutTarget val="inner"/>
          <c:xMode val="edge"/>
          <c:yMode val="edge"/>
          <c:x val="7.6761884085804283E-2"/>
          <c:y val="0.12133523343001466"/>
          <c:w val="0.82579990228506128"/>
          <c:h val="0.7558980268938309"/>
        </c:manualLayout>
      </c:layout>
      <c:lineChart>
        <c:grouping val="standard"/>
        <c:varyColors val="0"/>
        <c:ser>
          <c:idx val="0"/>
          <c:order val="0"/>
          <c:tx>
            <c:v>Efficiency</c:v>
          </c:tx>
          <c:spPr>
            <a:ln w="38100">
              <a:solidFill>
                <a:srgbClr val="FF0000"/>
              </a:solidFill>
              <a:prstDash val="solid"/>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Single'!$CA$5:$CA$105</c:f>
              <c:numCache>
                <c:formatCode>0.00</c:formatCode>
                <c:ptCount val="101"/>
                <c:pt idx="0">
                  <c:v>6.1129372331228325E-5</c:v>
                </c:pt>
                <c:pt idx="1">
                  <c:v>68.741820272474669</c:v>
                </c:pt>
                <c:pt idx="2">
                  <c:v>78.304005185052105</c:v>
                </c:pt>
                <c:pt idx="3">
                  <c:v>82.107146728527141</c:v>
                </c:pt>
                <c:pt idx="4">
                  <c:v>84.146698604987947</c:v>
                </c:pt>
                <c:pt idx="5">
                  <c:v>85.416003454737265</c:v>
                </c:pt>
                <c:pt idx="6">
                  <c:v>86.280094503547133</c:v>
                </c:pt>
                <c:pt idx="7">
                  <c:v>86.904658590075073</c:v>
                </c:pt>
                <c:pt idx="8">
                  <c:v>87.37578016976461</c:v>
                </c:pt>
                <c:pt idx="9">
                  <c:v>87.742626873631309</c:v>
                </c:pt>
                <c:pt idx="10">
                  <c:v>88.035327114051626</c:v>
                </c:pt>
                <c:pt idx="11">
                  <c:v>88.273375395058736</c:v>
                </c:pt>
                <c:pt idx="12">
                  <c:v>88.469945639070559</c:v>
                </c:pt>
                <c:pt idx="13">
                  <c:v>88.634262314732808</c:v>
                </c:pt>
                <c:pt idx="14">
                  <c:v>88.772978474655417</c:v>
                </c:pt>
                <c:pt idx="15">
                  <c:v>88.891014323879602</c:v>
                </c:pt>
                <c:pt idx="16">
                  <c:v>88.992087634920154</c:v>
                </c:pt>
                <c:pt idx="17">
                  <c:v>89.07906051004592</c:v>
                </c:pt>
                <c:pt idx="18">
                  <c:v>89.154172638967225</c:v>
                </c:pt>
                <c:pt idx="19">
                  <c:v>89.219202161275248</c:v>
                </c:pt>
                <c:pt idx="20">
                  <c:v>89.275579062848323</c:v>
                </c:pt>
                <c:pt idx="21">
                  <c:v>89.324466683954157</c:v>
                </c:pt>
                <c:pt idx="22">
                  <c:v>89.366821335132315</c:v>
                </c:pt>
                <c:pt idx="23">
                  <c:v>89.40343658890518</c:v>
                </c:pt>
                <c:pt idx="24">
                  <c:v>89.431228857482253</c:v>
                </c:pt>
                <c:pt idx="25">
                  <c:v>89.339864336609594</c:v>
                </c:pt>
                <c:pt idx="26">
                  <c:v>89.454393902376111</c:v>
                </c:pt>
                <c:pt idx="27">
                  <c:v>89.620544585162875</c:v>
                </c:pt>
                <c:pt idx="28">
                  <c:v>89.775951817570714</c:v>
                </c:pt>
                <c:pt idx="29">
                  <c:v>89.921643178902727</c:v>
                </c:pt>
                <c:pt idx="30">
                  <c:v>90.058517834637655</c:v>
                </c:pt>
                <c:pt idx="31">
                  <c:v>90.187366109164927</c:v>
                </c:pt>
                <c:pt idx="32">
                  <c:v>90.308885571003984</c:v>
                </c:pt>
                <c:pt idx="33">
                  <c:v>90.42369433642844</c:v>
                </c:pt>
                <c:pt idx="34">
                  <c:v>90.53234213840723</c:v>
                </c:pt>
                <c:pt idx="35">
                  <c:v>90.635319588011171</c:v>
                </c:pt>
                <c:pt idx="36">
                  <c:v>90.733065964428889</c:v>
                </c:pt>
                <c:pt idx="37">
                  <c:v>90.825975800007996</c:v>
                </c:pt>
                <c:pt idx="38">
                  <c:v>90.914404472892713</c:v>
                </c:pt>
                <c:pt idx="39">
                  <c:v>90.998672977943542</c:v>
                </c:pt>
                <c:pt idx="40">
                  <c:v>91.079072013813573</c:v>
                </c:pt>
                <c:pt idx="41">
                  <c:v>91.155865498184454</c:v>
                </c:pt>
                <c:pt idx="42">
                  <c:v>91.229293602638123</c:v>
                </c:pt>
                <c:pt idx="43">
                  <c:v>91.299575382256819</c:v>
                </c:pt>
                <c:pt idx="44">
                  <c:v>91.366911061894385</c:v>
                </c:pt>
                <c:pt idx="45">
                  <c:v>91.431484030451145</c:v>
                </c:pt>
                <c:pt idx="46">
                  <c:v>91.493462585878646</c:v>
                </c:pt>
                <c:pt idx="47">
                  <c:v>91.553001466627222</c:v>
                </c:pt>
                <c:pt idx="48">
                  <c:v>91.610243199507138</c:v>
                </c:pt>
                <c:pt idx="49">
                  <c:v>91.66531928921124</c:v>
                </c:pt>
                <c:pt idx="50">
                  <c:v>91.773088954711085</c:v>
                </c:pt>
                <c:pt idx="51">
                  <c:v>91.923677236541153</c:v>
                </c:pt>
                <c:pt idx="52">
                  <c:v>91.985342162398325</c:v>
                </c:pt>
                <c:pt idx="53">
                  <c:v>92.069629622039585</c:v>
                </c:pt>
                <c:pt idx="54">
                  <c:v>92.149323155442346</c:v>
                </c:pt>
                <c:pt idx="55">
                  <c:v>92.224710779304658</c:v>
                </c:pt>
                <c:pt idx="56">
                  <c:v>92.296057694583652</c:v>
                </c:pt>
                <c:pt idx="57">
                  <c:v>92.363608446304951</c:v>
                </c:pt>
                <c:pt idx="58">
                  <c:v>92.427588847346755</c:v>
                </c:pt>
                <c:pt idx="59">
                  <c:v>92.488207695264748</c:v>
                </c:pt>
                <c:pt idx="60">
                  <c:v>92.545658307260354</c:v>
                </c:pt>
                <c:pt idx="61">
                  <c:v>92.600119895023809</c:v>
                </c:pt>
                <c:pt idx="62">
                  <c:v>92.651758798304201</c:v>
                </c:pt>
                <c:pt idx="63">
                  <c:v>92.700729593599362</c:v>
                </c:pt>
                <c:pt idx="64">
                  <c:v>92.747176092247358</c:v>
                </c:pt>
                <c:pt idx="65">
                  <c:v>92.791232240389448</c:v>
                </c:pt>
                <c:pt idx="66">
                  <c:v>92.833022931713558</c:v>
                </c:pt>
                <c:pt idx="67">
                  <c:v>92.872664742540024</c:v>
                </c:pt>
                <c:pt idx="68">
                  <c:v>92.910266597647123</c:v>
                </c:pt>
                <c:pt idx="69">
                  <c:v>92.945930374224076</c:v>
                </c:pt>
                <c:pt idx="70">
                  <c:v>92.979751450463652</c:v>
                </c:pt>
                <c:pt idx="71">
                  <c:v>93.011819204543514</c:v>
                </c:pt>
                <c:pt idx="72">
                  <c:v>93.042217469081535</c:v>
                </c:pt>
                <c:pt idx="73">
                  <c:v>93.071024945569832</c:v>
                </c:pt>
                <c:pt idx="74">
                  <c:v>93.098315582785119</c:v>
                </c:pt>
                <c:pt idx="75">
                  <c:v>93.124158922727901</c:v>
                </c:pt>
                <c:pt idx="76">
                  <c:v>93.148620417252999</c:v>
                </c:pt>
                <c:pt idx="77">
                  <c:v>93.171761718210448</c:v>
                </c:pt>
                <c:pt idx="78">
                  <c:v>93.193640943613488</c:v>
                </c:pt>
                <c:pt idx="79">
                  <c:v>93.214312922083991</c:v>
                </c:pt>
                <c:pt idx="80">
                  <c:v>93.233829417589845</c:v>
                </c:pt>
                <c:pt idx="81">
                  <c:v>93.252239336280041</c:v>
                </c:pt>
                <c:pt idx="82">
                  <c:v>93.26958891703967</c:v>
                </c:pt>
                <c:pt idx="83">
                  <c:v>93.28592190722128</c:v>
                </c:pt>
                <c:pt idx="84">
                  <c:v>93.301279724865111</c:v>
                </c:pt>
                <c:pt idx="85">
                  <c:v>93.315701608590061</c:v>
                </c:pt>
                <c:pt idx="86">
                  <c:v>93.329224756221834</c:v>
                </c:pt>
                <c:pt idx="87">
                  <c:v>93.341884453121963</c:v>
                </c:pt>
                <c:pt idx="88">
                  <c:v>93.353714191088883</c:v>
                </c:pt>
                <c:pt idx="89">
                  <c:v>93.36474577862009</c:v>
                </c:pt>
                <c:pt idx="90">
                  <c:v>93.375009443250605</c:v>
                </c:pt>
                <c:pt idx="91">
                  <c:v>93.384533926616257</c:v>
                </c:pt>
                <c:pt idx="92">
                  <c:v>93.393346572831732</c:v>
                </c:pt>
                <c:pt idx="93">
                  <c:v>93.401473410719163</c:v>
                </c:pt>
                <c:pt idx="94">
                  <c:v>93.408939230375196</c:v>
                </c:pt>
                <c:pt idx="95">
                  <c:v>93.415767654521076</c:v>
                </c:pt>
                <c:pt idx="96">
                  <c:v>93.421981205041476</c:v>
                </c:pt>
                <c:pt idx="97">
                  <c:v>93.427601365081983</c:v>
                </c:pt>
                <c:pt idx="98">
                  <c:v>93.432648637043854</c:v>
                </c:pt>
                <c:pt idx="99">
                  <c:v>93.437142596785179</c:v>
                </c:pt>
                <c:pt idx="100">
                  <c:v>93.441101944311924</c:v>
                </c:pt>
              </c:numCache>
            </c:numRef>
          </c:val>
          <c:smooth val="0"/>
          <c:extLst>
            <c:ext xmlns:c16="http://schemas.microsoft.com/office/drawing/2014/chart" uri="{C3380CC4-5D6E-409C-BE32-E72D297353CC}">
              <c16:uniqueId val="{00000000-5A74-43AD-9882-6D8E148B5C77}"/>
            </c:ext>
          </c:extLst>
        </c:ser>
        <c:dLbls>
          <c:showLegendKey val="0"/>
          <c:showVal val="0"/>
          <c:showCatName val="0"/>
          <c:showSerName val="0"/>
          <c:showPercent val="0"/>
          <c:showBubbleSize val="0"/>
        </c:dLbls>
        <c:marker val="1"/>
        <c:smooth val="0"/>
        <c:axId val="141058048"/>
        <c:axId val="141059968"/>
      </c:lineChart>
      <c:lineChart>
        <c:grouping val="standard"/>
        <c:varyColors val="0"/>
        <c:ser>
          <c:idx val="2"/>
          <c:order val="1"/>
          <c:tx>
            <c:strRef>
              <c:f>'Calculations - Single'!$BN$3</c:f>
              <c:strCache>
                <c:ptCount val="1"/>
                <c:pt idx="0">
                  <c:v>Flyback Diode Loss</c:v>
                </c:pt>
              </c:strCache>
            </c:strRef>
          </c:tx>
          <c:spPr>
            <a:ln w="38100">
              <a:solidFill>
                <a:srgbClr val="808000"/>
              </a:solidFill>
              <a:prstDash val="sys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Single'!$BQ$5:$BQ$105</c:f>
              <c:numCache>
                <c:formatCode>0.0</c:formatCode>
                <c:ptCount val="101"/>
                <c:pt idx="0">
                  <c:v>2.9999999999999999E-7</c:v>
                </c:pt>
                <c:pt idx="1">
                  <c:v>1.2</c:v>
                </c:pt>
                <c:pt idx="2">
                  <c:v>2.4</c:v>
                </c:pt>
                <c:pt idx="3">
                  <c:v>3.6</c:v>
                </c:pt>
                <c:pt idx="4">
                  <c:v>4.8</c:v>
                </c:pt>
                <c:pt idx="5">
                  <c:v>6.0000000000000009</c:v>
                </c:pt>
                <c:pt idx="6">
                  <c:v>7.2</c:v>
                </c:pt>
                <c:pt idx="7">
                  <c:v>8.4</c:v>
                </c:pt>
                <c:pt idx="8">
                  <c:v>9.6</c:v>
                </c:pt>
                <c:pt idx="9">
                  <c:v>10.799999999999999</c:v>
                </c:pt>
                <c:pt idx="10">
                  <c:v>12.000000000000002</c:v>
                </c:pt>
                <c:pt idx="11">
                  <c:v>13.200000000000001</c:v>
                </c:pt>
                <c:pt idx="12">
                  <c:v>14.4</c:v>
                </c:pt>
                <c:pt idx="13">
                  <c:v>15.600000000000001</c:v>
                </c:pt>
                <c:pt idx="14">
                  <c:v>16.8</c:v>
                </c:pt>
                <c:pt idx="15">
                  <c:v>18</c:v>
                </c:pt>
                <c:pt idx="16">
                  <c:v>19.2</c:v>
                </c:pt>
                <c:pt idx="17">
                  <c:v>20.400000000000002</c:v>
                </c:pt>
                <c:pt idx="18">
                  <c:v>21.599999999999998</c:v>
                </c:pt>
                <c:pt idx="19">
                  <c:v>22.800000000000004</c:v>
                </c:pt>
                <c:pt idx="20">
                  <c:v>24.000000000000004</c:v>
                </c:pt>
                <c:pt idx="21">
                  <c:v>25.2</c:v>
                </c:pt>
                <c:pt idx="22">
                  <c:v>26.400000000000002</c:v>
                </c:pt>
                <c:pt idx="23">
                  <c:v>27.6</c:v>
                </c:pt>
                <c:pt idx="24">
                  <c:v>28.8</c:v>
                </c:pt>
                <c:pt idx="25">
                  <c:v>30</c:v>
                </c:pt>
                <c:pt idx="26">
                  <c:v>31.200000000000003</c:v>
                </c:pt>
                <c:pt idx="27">
                  <c:v>32.400000000000006</c:v>
                </c:pt>
                <c:pt idx="28">
                  <c:v>33.6</c:v>
                </c:pt>
                <c:pt idx="29">
                  <c:v>34.799999999999997</c:v>
                </c:pt>
                <c:pt idx="30">
                  <c:v>36</c:v>
                </c:pt>
                <c:pt idx="31">
                  <c:v>37.199999999999996</c:v>
                </c:pt>
                <c:pt idx="32">
                  <c:v>38.4</c:v>
                </c:pt>
                <c:pt idx="33">
                  <c:v>39.6</c:v>
                </c:pt>
                <c:pt idx="34">
                  <c:v>40.800000000000004</c:v>
                </c:pt>
                <c:pt idx="35">
                  <c:v>41.999999999999993</c:v>
                </c:pt>
                <c:pt idx="36">
                  <c:v>43.199999999999996</c:v>
                </c:pt>
                <c:pt idx="37">
                  <c:v>44.399999999999991</c:v>
                </c:pt>
                <c:pt idx="38">
                  <c:v>45.600000000000009</c:v>
                </c:pt>
                <c:pt idx="39">
                  <c:v>46.800000000000011</c:v>
                </c:pt>
                <c:pt idx="40">
                  <c:v>48.000000000000007</c:v>
                </c:pt>
                <c:pt idx="41">
                  <c:v>49.2</c:v>
                </c:pt>
                <c:pt idx="42">
                  <c:v>50.4</c:v>
                </c:pt>
                <c:pt idx="43">
                  <c:v>51.6</c:v>
                </c:pt>
                <c:pt idx="44">
                  <c:v>52.800000000000004</c:v>
                </c:pt>
                <c:pt idx="45">
                  <c:v>54.000000000000007</c:v>
                </c:pt>
                <c:pt idx="46">
                  <c:v>55.2</c:v>
                </c:pt>
                <c:pt idx="47">
                  <c:v>56.4</c:v>
                </c:pt>
                <c:pt idx="48">
                  <c:v>57.6</c:v>
                </c:pt>
                <c:pt idx="49">
                  <c:v>58.8</c:v>
                </c:pt>
                <c:pt idx="50">
                  <c:v>60</c:v>
                </c:pt>
                <c:pt idx="51">
                  <c:v>61.2</c:v>
                </c:pt>
                <c:pt idx="52">
                  <c:v>62.400000000000006</c:v>
                </c:pt>
                <c:pt idx="53">
                  <c:v>63.6</c:v>
                </c:pt>
                <c:pt idx="54">
                  <c:v>64.800000000000011</c:v>
                </c:pt>
                <c:pt idx="55">
                  <c:v>66</c:v>
                </c:pt>
                <c:pt idx="56">
                  <c:v>67.2</c:v>
                </c:pt>
                <c:pt idx="57">
                  <c:v>68.399999999999991</c:v>
                </c:pt>
                <c:pt idx="58">
                  <c:v>69.599999999999994</c:v>
                </c:pt>
                <c:pt idx="59">
                  <c:v>70.799999999999983</c:v>
                </c:pt>
                <c:pt idx="60">
                  <c:v>72</c:v>
                </c:pt>
                <c:pt idx="61">
                  <c:v>73.2</c:v>
                </c:pt>
                <c:pt idx="62">
                  <c:v>74.399999999999991</c:v>
                </c:pt>
                <c:pt idx="63">
                  <c:v>75.599999999999994</c:v>
                </c:pt>
                <c:pt idx="64">
                  <c:v>76.8</c:v>
                </c:pt>
                <c:pt idx="65">
                  <c:v>78</c:v>
                </c:pt>
                <c:pt idx="66">
                  <c:v>79.2</c:v>
                </c:pt>
                <c:pt idx="67">
                  <c:v>80.400000000000006</c:v>
                </c:pt>
                <c:pt idx="68">
                  <c:v>81.600000000000009</c:v>
                </c:pt>
                <c:pt idx="69">
                  <c:v>82.799999999999983</c:v>
                </c:pt>
                <c:pt idx="70">
                  <c:v>83.999999999999986</c:v>
                </c:pt>
                <c:pt idx="71">
                  <c:v>85.199999999999989</c:v>
                </c:pt>
                <c:pt idx="72">
                  <c:v>86.399999999999991</c:v>
                </c:pt>
                <c:pt idx="73">
                  <c:v>87.6</c:v>
                </c:pt>
                <c:pt idx="74">
                  <c:v>88.799999999999983</c:v>
                </c:pt>
                <c:pt idx="75">
                  <c:v>90.000000000000014</c:v>
                </c:pt>
                <c:pt idx="76">
                  <c:v>91.200000000000017</c:v>
                </c:pt>
                <c:pt idx="77">
                  <c:v>92.4</c:v>
                </c:pt>
                <c:pt idx="78">
                  <c:v>93.600000000000023</c:v>
                </c:pt>
                <c:pt idx="79">
                  <c:v>94.800000000000011</c:v>
                </c:pt>
                <c:pt idx="80">
                  <c:v>96.000000000000014</c:v>
                </c:pt>
                <c:pt idx="81">
                  <c:v>97.200000000000017</c:v>
                </c:pt>
                <c:pt idx="82">
                  <c:v>98.4</c:v>
                </c:pt>
                <c:pt idx="83">
                  <c:v>99.600000000000009</c:v>
                </c:pt>
                <c:pt idx="84">
                  <c:v>100.8</c:v>
                </c:pt>
                <c:pt idx="85">
                  <c:v>102.00000000000001</c:v>
                </c:pt>
                <c:pt idx="86">
                  <c:v>103.2</c:v>
                </c:pt>
                <c:pt idx="87">
                  <c:v>104.4</c:v>
                </c:pt>
                <c:pt idx="88">
                  <c:v>105.60000000000001</c:v>
                </c:pt>
                <c:pt idx="89">
                  <c:v>106.80000000000001</c:v>
                </c:pt>
                <c:pt idx="90">
                  <c:v>108.00000000000001</c:v>
                </c:pt>
                <c:pt idx="91">
                  <c:v>109.2</c:v>
                </c:pt>
                <c:pt idx="92">
                  <c:v>110.4</c:v>
                </c:pt>
                <c:pt idx="93">
                  <c:v>111.60000000000002</c:v>
                </c:pt>
                <c:pt idx="94">
                  <c:v>112.8</c:v>
                </c:pt>
                <c:pt idx="95">
                  <c:v>113.99999999999999</c:v>
                </c:pt>
                <c:pt idx="96">
                  <c:v>115.2</c:v>
                </c:pt>
                <c:pt idx="97">
                  <c:v>116.4</c:v>
                </c:pt>
                <c:pt idx="98">
                  <c:v>117.6</c:v>
                </c:pt>
                <c:pt idx="99">
                  <c:v>118.8</c:v>
                </c:pt>
                <c:pt idx="100">
                  <c:v>120</c:v>
                </c:pt>
              </c:numCache>
            </c:numRef>
          </c:val>
          <c:smooth val="0"/>
          <c:extLst>
            <c:ext xmlns:c16="http://schemas.microsoft.com/office/drawing/2014/chart" uri="{C3380CC4-5D6E-409C-BE32-E72D297353CC}">
              <c16:uniqueId val="{00000001-5A74-43AD-9882-6D8E148B5C77}"/>
            </c:ext>
          </c:extLst>
        </c:ser>
        <c:ser>
          <c:idx val="3"/>
          <c:order val="2"/>
          <c:tx>
            <c:strRef>
              <c:f>'Calculations - Single'!$BG$3</c:f>
              <c:strCache>
                <c:ptCount val="1"/>
                <c:pt idx="0">
                  <c:v>IC Loss</c:v>
                </c:pt>
              </c:strCache>
            </c:strRef>
          </c:tx>
          <c:spPr>
            <a:ln w="38100">
              <a:solidFill>
                <a:srgbClr val="800080"/>
              </a:solidFill>
              <a:prstDash val="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Single'!$BM$5:$BM$105</c:f>
              <c:numCache>
                <c:formatCode>0.0</c:formatCode>
                <c:ptCount val="101"/>
                <c:pt idx="0">
                  <c:v>9.4159133352261968</c:v>
                </c:pt>
                <c:pt idx="1">
                  <c:v>10.366980396046998</c:v>
                </c:pt>
                <c:pt idx="2">
                  <c:v>13.774287007203034</c:v>
                </c:pt>
                <c:pt idx="3">
                  <c:v>17.181919880322532</c:v>
                </c:pt>
                <c:pt idx="4">
                  <c:v>20.589879062268874</c:v>
                </c:pt>
                <c:pt idx="5">
                  <c:v>23.998164599914443</c:v>
                </c:pt>
                <c:pt idx="6">
                  <c:v>27.406776540140573</c:v>
                </c:pt>
                <c:pt idx="7">
                  <c:v>30.81571492983759</c:v>
                </c:pt>
                <c:pt idx="8">
                  <c:v>34.22497981590481</c:v>
                </c:pt>
                <c:pt idx="9">
                  <c:v>37.634571245250513</c:v>
                </c:pt>
                <c:pt idx="10">
                  <c:v>41.044489264792013</c:v>
                </c:pt>
                <c:pt idx="11">
                  <c:v>44.454733921455521</c:v>
                </c:pt>
                <c:pt idx="12">
                  <c:v>47.865305262176335</c:v>
                </c:pt>
                <c:pt idx="13">
                  <c:v>51.276203333898678</c:v>
                </c:pt>
                <c:pt idx="14">
                  <c:v>54.687428183575825</c:v>
                </c:pt>
                <c:pt idx="15">
                  <c:v>58.09897985816999</c:v>
                </c:pt>
                <c:pt idx="16">
                  <c:v>61.510858404652438</c:v>
                </c:pt>
                <c:pt idx="17">
                  <c:v>64.923063870003375</c:v>
                </c:pt>
                <c:pt idx="18">
                  <c:v>68.335596301212092</c:v>
                </c:pt>
                <c:pt idx="19">
                  <c:v>71.748455745276843</c:v>
                </c:pt>
                <c:pt idx="20">
                  <c:v>75.161642249204846</c:v>
                </c:pt>
                <c:pt idx="21">
                  <c:v>78.575155860012387</c:v>
                </c:pt>
                <c:pt idx="22">
                  <c:v>81.988996624724749</c:v>
                </c:pt>
                <c:pt idx="23">
                  <c:v>85.403164590376221</c:v>
                </c:pt>
                <c:pt idx="24">
                  <c:v>88.847504492238301</c:v>
                </c:pt>
                <c:pt idx="25">
                  <c:v>93.24522995969555</c:v>
                </c:pt>
                <c:pt idx="26">
                  <c:v>95.020479340358349</c:v>
                </c:pt>
                <c:pt idx="27">
                  <c:v>95.991308335738523</c:v>
                </c:pt>
                <c:pt idx="28">
                  <c:v>96.953265927025583</c:v>
                </c:pt>
                <c:pt idx="29">
                  <c:v>97.906989490120665</c:v>
                </c:pt>
                <c:pt idx="30">
                  <c:v>98.853059442065486</c:v>
                </c:pt>
                <c:pt idx="31">
                  <c:v>99.792005965996765</c:v>
                </c:pt>
                <c:pt idx="32">
                  <c:v>100.72431475654605</c:v>
                </c:pt>
                <c:pt idx="33">
                  <c:v>101.65043195401741</c:v>
                </c:pt>
                <c:pt idx="34">
                  <c:v>102.57076840258364</c:v>
                </c:pt>
                <c:pt idx="35">
                  <c:v>103.48570334192836</c:v>
                </c:pt>
                <c:pt idx="36">
                  <c:v>104.39558762146436</c:v>
                </c:pt>
                <c:pt idx="37">
                  <c:v>105.30074651018178</c:v>
                </c:pt>
                <c:pt idx="38">
                  <c:v>106.20148216235323</c:v>
                </c:pt>
                <c:pt idx="39">
                  <c:v>107.09807578902381</c:v>
                </c:pt>
                <c:pt idx="40">
                  <c:v>107.99078957689397</c:v>
                </c:pt>
                <c:pt idx="41">
                  <c:v>108.87986838943785</c:v>
                </c:pt>
                <c:pt idx="42">
                  <c:v>109.76554127957439</c:v>
                </c:pt>
                <c:pt idx="43">
                  <c:v>110.64802283866578</c:v>
                </c:pt>
                <c:pt idx="44">
                  <c:v>111.5275144028691</c:v>
                </c:pt>
                <c:pt idx="45">
                  <c:v>112.40420513475615</c:v>
                </c:pt>
                <c:pt idx="46">
                  <c:v>113.27827299552386</c:v>
                </c:pt>
                <c:pt idx="47">
                  <c:v>114.14988562094848</c:v>
                </c:pt>
                <c:pt idx="48">
                  <c:v>115.01920111241313</c:v>
                </c:pt>
                <c:pt idx="49">
                  <c:v>115.88636875280049</c:v>
                </c:pt>
                <c:pt idx="50">
                  <c:v>115.59214613453827</c:v>
                </c:pt>
                <c:pt idx="51">
                  <c:v>114.29156704223867</c:v>
                </c:pt>
                <c:pt idx="52">
                  <c:v>114.29698543601471</c:v>
                </c:pt>
                <c:pt idx="53">
                  <c:v>113.92495304740693</c:v>
                </c:pt>
                <c:pt idx="54">
                  <c:v>113.59175910770843</c:v>
                </c:pt>
                <c:pt idx="55">
                  <c:v>113.29575991280247</c:v>
                </c:pt>
                <c:pt idx="56">
                  <c:v>113.03542987426948</c:v>
                </c:pt>
                <c:pt idx="57">
                  <c:v>112.80935117197991</c:v>
                </c:pt>
                <c:pt idx="58">
                  <c:v>112.61620447715087</c:v>
                </c:pt>
                <c:pt idx="59">
                  <c:v>112.45476061886323</c:v>
                </c:pt>
                <c:pt idx="60">
                  <c:v>112.32387308396974</c:v>
                </c:pt>
                <c:pt idx="61">
                  <c:v>112.22247125475975</c:v>
                </c:pt>
                <c:pt idx="62">
                  <c:v>112.14955430108652</c:v>
                </c:pt>
                <c:pt idx="63">
                  <c:v>112.10418565423967</c:v>
                </c:pt>
                <c:pt idx="64">
                  <c:v>112.08548799893481</c:v>
                </c:pt>
                <c:pt idx="65">
                  <c:v>112.09263872762503</c:v>
                </c:pt>
                <c:pt idx="66">
                  <c:v>112.12486580809954</c:v>
                </c:pt>
                <c:pt idx="67">
                  <c:v>112.18144402119192</c:v>
                </c:pt>
                <c:pt idx="68">
                  <c:v>112.26169153049878</c:v>
                </c:pt>
                <c:pt idx="69">
                  <c:v>112.36496675042747</c:v>
                </c:pt>
                <c:pt idx="70">
                  <c:v>112.49066548274087</c:v>
                </c:pt>
                <c:pt idx="71">
                  <c:v>112.63821829512813</c:v>
                </c:pt>
                <c:pt idx="72">
                  <c:v>112.80708811827211</c:v>
                </c:pt>
                <c:pt idx="73">
                  <c:v>112.99676804046211</c:v>
                </c:pt>
                <c:pt idx="74">
                  <c:v>113.20677928106663</c:v>
                </c:pt>
                <c:pt idx="75">
                  <c:v>113.43666932617241</c:v>
                </c:pt>
                <c:pt idx="76">
                  <c:v>113.68601021145464</c:v>
                </c:pt>
                <c:pt idx="77">
                  <c:v>113.95439693889435</c:v>
                </c:pt>
                <c:pt idx="78">
                  <c:v>114.24144601533156</c:v>
                </c:pt>
                <c:pt idx="79">
                  <c:v>114.54679410205956</c:v>
                </c:pt>
                <c:pt idx="80">
                  <c:v>114.87009676574463</c:v>
                </c:pt>
                <c:pt idx="81">
                  <c:v>115.21102732191598</c:v>
                </c:pt>
                <c:pt idx="82">
                  <c:v>115.56927576312314</c:v>
                </c:pt>
                <c:pt idx="83">
                  <c:v>115.94454776462227</c:v>
                </c:pt>
                <c:pt idx="84">
                  <c:v>116.33656376113034</c:v>
                </c:pt>
                <c:pt idx="85">
                  <c:v>116.74505808879513</c:v>
                </c:pt>
                <c:pt idx="86">
                  <c:v>117.16977818707481</c:v>
                </c:pt>
                <c:pt idx="87">
                  <c:v>117.61048385570538</c:v>
                </c:pt>
                <c:pt idx="88">
                  <c:v>118.06694656237656</c:v>
                </c:pt>
                <c:pt idx="89">
                  <c:v>118.53894879712742</c:v>
                </c:pt>
                <c:pt idx="90">
                  <c:v>119.02628346982877</c:v>
                </c:pt>
                <c:pt idx="91">
                  <c:v>119.52875334743936</c:v>
                </c:pt>
                <c:pt idx="92">
                  <c:v>120.04617052800921</c:v>
                </c:pt>
                <c:pt idx="93">
                  <c:v>120.57835594866538</c:v>
                </c:pt>
                <c:pt idx="94">
                  <c:v>121.12513892505051</c:v>
                </c:pt>
                <c:pt idx="95">
                  <c:v>121.68635671989648</c:v>
                </c:pt>
                <c:pt idx="96">
                  <c:v>122.2618541386103</c:v>
                </c:pt>
                <c:pt idx="97">
                  <c:v>122.85148314992252</c:v>
                </c:pt>
                <c:pt idx="98">
                  <c:v>123.45510252980974</c:v>
                </c:pt>
                <c:pt idx="99">
                  <c:v>124.07257752704534</c:v>
                </c:pt>
                <c:pt idx="100">
                  <c:v>124.70377954886541</c:v>
                </c:pt>
              </c:numCache>
            </c:numRef>
          </c:val>
          <c:smooth val="0"/>
          <c:extLst>
            <c:ext xmlns:c16="http://schemas.microsoft.com/office/drawing/2014/chart" uri="{C3380CC4-5D6E-409C-BE32-E72D297353CC}">
              <c16:uniqueId val="{00000002-5A74-43AD-9882-6D8E148B5C77}"/>
            </c:ext>
          </c:extLst>
        </c:ser>
        <c:ser>
          <c:idx val="1"/>
          <c:order val="3"/>
          <c:tx>
            <c:strRef>
              <c:f>'Calculations - Single'!$BR$3</c:f>
              <c:strCache>
                <c:ptCount val="1"/>
                <c:pt idx="0">
                  <c:v>Transformer Loss</c:v>
                </c:pt>
              </c:strCache>
            </c:strRef>
          </c:tx>
          <c:spPr>
            <a:ln w="38100">
              <a:solidFill>
                <a:srgbClr val="002060"/>
              </a:solidFill>
              <a:prstDash val="sysDot"/>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Single'!$BW$5:$BW$105</c:f>
              <c:numCache>
                <c:formatCode>0.0</c:formatCode>
                <c:ptCount val="101"/>
                <c:pt idx="0">
                  <c:v>10.214572016505334</c:v>
                </c:pt>
                <c:pt idx="1">
                  <c:v>10.259509228086475</c:v>
                </c:pt>
                <c:pt idx="2">
                  <c:v>10.424805814585307</c:v>
                </c:pt>
                <c:pt idx="3">
                  <c:v>10.59867211139616</c:v>
                </c:pt>
                <c:pt idx="4">
                  <c:v>10.783065548797369</c:v>
                </c:pt>
                <c:pt idx="5">
                  <c:v>10.979626789234576</c:v>
                </c:pt>
                <c:pt idx="6">
                  <c:v>11.189798043073134</c:v>
                </c:pt>
                <c:pt idx="7">
                  <c:v>11.414881693175694</c:v>
                </c:pt>
                <c:pt idx="8">
                  <c:v>11.656074606632778</c:v>
                </c:pt>
                <c:pt idx="9">
                  <c:v>11.914490314275284</c:v>
                </c:pt>
                <c:pt idx="10">
                  <c:v>12.191174343465898</c:v>
                </c:pt>
                <c:pt idx="11">
                  <c:v>12.487115347351159</c:v>
                </c:pt>
                <c:pt idx="12">
                  <c:v>12.803253488722177</c:v>
                </c:pt>
                <c:pt idx="13">
                  <c:v>13.140486943534247</c:v>
                </c:pt>
                <c:pt idx="14">
                  <c:v>13.499677066987779</c:v>
                </c:pt>
                <c:pt idx="15">
                  <c:v>13.881652578577754</c:v>
                </c:pt>
                <c:pt idx="16">
                  <c:v>14.287213008878096</c:v>
                </c:pt>
                <c:pt idx="17">
                  <c:v>14.717131578595188</c:v>
                </c:pt>
                <c:pt idx="18">
                  <c:v>15.172157632859697</c:v>
                </c:pt>
                <c:pt idx="19">
                  <c:v>15.653018721444024</c:v>
                </c:pt>
                <c:pt idx="20">
                  <c:v>16.160422393106977</c:v>
                </c:pt>
                <c:pt idx="21">
                  <c:v>16.695057756244733</c:v>
                </c:pt>
                <c:pt idx="22">
                  <c:v>17.257596846380661</c:v>
                </c:pt>
                <c:pt idx="23">
                  <c:v>17.848695832408218</c:v>
                </c:pt>
                <c:pt idx="24">
                  <c:v>18.493131298229184</c:v>
                </c:pt>
                <c:pt idx="25">
                  <c:v>19.940154202864981</c:v>
                </c:pt>
                <c:pt idx="26">
                  <c:v>20.903835471918665</c:v>
                </c:pt>
                <c:pt idx="27">
                  <c:v>21.705684266735918</c:v>
                </c:pt>
                <c:pt idx="28">
                  <c:v>22.506885249178168</c:v>
                </c:pt>
                <c:pt idx="29">
                  <c:v>23.307427050911578</c:v>
                </c:pt>
                <c:pt idx="30">
                  <c:v>24.107299470434377</c:v>
                </c:pt>
                <c:pt idx="31">
                  <c:v>24.906493341422234</c:v>
                </c:pt>
                <c:pt idx="32">
                  <c:v>25.705000419028146</c:v>
                </c:pt>
                <c:pt idx="33">
                  <c:v>26.50281328124554</c:v>
                </c:pt>
                <c:pt idx="34">
                  <c:v>27.299925242979338</c:v>
                </c:pt>
                <c:pt idx="35">
                  <c:v>28.096330280892374</c:v>
                </c:pt>
                <c:pt idx="36">
                  <c:v>28.89202296743343</c:v>
                </c:pt>
                <c:pt idx="37">
                  <c:v>29.686998412723543</c:v>
                </c:pt>
                <c:pt idx="38">
                  <c:v>30.481252213197774</c:v>
                </c:pt>
                <c:pt idx="39">
                  <c:v>31.274780406076598</c:v>
                </c:pt>
                <c:pt idx="40">
                  <c:v>32.067579428888173</c:v>
                </c:pt>
                <c:pt idx="41">
                  <c:v>32.859646083381691</c:v>
                </c:pt>
                <c:pt idx="42">
                  <c:v>33.650977503271918</c:v>
                </c:pt>
                <c:pt idx="43">
                  <c:v>34.441571125336537</c:v>
                </c:pt>
                <c:pt idx="44">
                  <c:v>35.231424663457368</c:v>
                </c:pt>
                <c:pt idx="45">
                  <c:v>36.020536085253262</c:v>
                </c:pt>
                <c:pt idx="46">
                  <c:v>36.808903591001609</c:v>
                </c:pt>
                <c:pt idx="47">
                  <c:v>37.59652559458565</c:v>
                </c:pt>
                <c:pt idx="48">
                  <c:v>38.383400706239826</c:v>
                </c:pt>
                <c:pt idx="49">
                  <c:v>39.169527716894827</c:v>
                </c:pt>
                <c:pt idx="50">
                  <c:v>39.553565245375374</c:v>
                </c:pt>
                <c:pt idx="51">
                  <c:v>39.587275746788123</c:v>
                </c:pt>
                <c:pt idx="52">
                  <c:v>40.77881551644645</c:v>
                </c:pt>
                <c:pt idx="53">
                  <c:v>41.601183598871415</c:v>
                </c:pt>
                <c:pt idx="54">
                  <c:v>42.434110082537572</c:v>
                </c:pt>
                <c:pt idx="55">
                  <c:v>43.277597804269639</c:v>
                </c:pt>
                <c:pt idx="56">
                  <c:v>44.131649654571419</c:v>
                </c:pt>
                <c:pt idx="57">
                  <c:v>44.996268577662313</c:v>
                </c:pt>
                <c:pt idx="58">
                  <c:v>45.871457571514554</c:v>
                </c:pt>
                <c:pt idx="59">
                  <c:v>46.757219687891137</c:v>
                </c:pt>
                <c:pt idx="60">
                  <c:v>47.653558032384346</c:v>
                </c:pt>
                <c:pt idx="61">
                  <c:v>48.560475764455028</c:v>
                </c:pt>
                <c:pt idx="62">
                  <c:v>49.477976097472592</c:v>
                </c:pt>
                <c:pt idx="63">
                  <c:v>50.4060622987557</c:v>
                </c:pt>
                <c:pt idx="64">
                  <c:v>51.344737689613481</c:v>
                </c:pt>
                <c:pt idx="65">
                  <c:v>52.294005645387784</c:v>
                </c:pt>
                <c:pt idx="66">
                  <c:v>53.253869595495701</c:v>
                </c:pt>
                <c:pt idx="67">
                  <c:v>54.224333023473108</c:v>
                </c:pt>
                <c:pt idx="68">
                  <c:v>55.205399467018736</c:v>
                </c:pt>
                <c:pt idx="69">
                  <c:v>56.197072518039086</c:v>
                </c:pt>
                <c:pt idx="70">
                  <c:v>57.199355822693839</c:v>
                </c:pt>
                <c:pt idx="71">
                  <c:v>58.212253081442164</c:v>
                </c:pt>
                <c:pt idx="72">
                  <c:v>59.235768049089494</c:v>
                </c:pt>
                <c:pt idx="73">
                  <c:v>60.269904534835312</c:v>
                </c:pt>
                <c:pt idx="74">
                  <c:v>61.314666402321421</c:v>
                </c:pt>
                <c:pt idx="75">
                  <c:v>62.370057569680959</c:v>
                </c:pt>
                <c:pt idx="76">
                  <c:v>63.436082009588027</c:v>
                </c:pt>
                <c:pt idx="77">
                  <c:v>64.512743749308328</c:v>
                </c:pt>
                <c:pt idx="78">
                  <c:v>65.60004687075002</c:v>
                </c:pt>
                <c:pt idx="79">
                  <c:v>66.697995510516066</c:v>
                </c:pt>
                <c:pt idx="80">
                  <c:v>67.806593859956109</c:v>
                </c:pt>
                <c:pt idx="81">
                  <c:v>68.925846165220378</c:v>
                </c:pt>
                <c:pt idx="82">
                  <c:v>70.055756727313209</c:v>
                </c:pt>
                <c:pt idx="83">
                  <c:v>71.196329902148079</c:v>
                </c:pt>
                <c:pt idx="84">
                  <c:v>72.347570100602795</c:v>
                </c:pt>
                <c:pt idx="85">
                  <c:v>73.509481788575698</c:v>
                </c:pt>
                <c:pt idx="86">
                  <c:v>74.682069487042469</c:v>
                </c:pt>
                <c:pt idx="87">
                  <c:v>75.865337772113733</c:v>
                </c:pt>
                <c:pt idx="88">
                  <c:v>77.0592912750934</c:v>
                </c:pt>
                <c:pt idx="89">
                  <c:v>78.263934682537496</c:v>
                </c:pt>
                <c:pt idx="90">
                  <c:v>79.479272736314044</c:v>
                </c:pt>
                <c:pt idx="91">
                  <c:v>80.70531023366344</c:v>
                </c:pt>
                <c:pt idx="92">
                  <c:v>81.942052027259678</c:v>
                </c:pt>
                <c:pt idx="93">
                  <c:v>83.189503025272046</c:v>
                </c:pt>
                <c:pt idx="94">
                  <c:v>84.447668191428235</c:v>
                </c:pt>
                <c:pt idx="95">
                  <c:v>85.716552545077178</c:v>
                </c:pt>
                <c:pt idx="96">
                  <c:v>86.996161161253369</c:v>
                </c:pt>
                <c:pt idx="97">
                  <c:v>88.286499170741749</c:v>
                </c:pt>
                <c:pt idx="98">
                  <c:v>89.587571760143121</c:v>
                </c:pt>
                <c:pt idx="99">
                  <c:v>90.899384171940596</c:v>
                </c:pt>
                <c:pt idx="100">
                  <c:v>92.221941704566518</c:v>
                </c:pt>
              </c:numCache>
            </c:numRef>
          </c:val>
          <c:smooth val="0"/>
          <c:extLst>
            <c:ext xmlns:c16="http://schemas.microsoft.com/office/drawing/2014/chart" uri="{C3380CC4-5D6E-409C-BE32-E72D297353CC}">
              <c16:uniqueId val="{00000003-5A74-43AD-9882-6D8E148B5C77}"/>
            </c:ext>
          </c:extLst>
        </c:ser>
        <c:dLbls>
          <c:showLegendKey val="0"/>
          <c:showVal val="0"/>
          <c:showCatName val="0"/>
          <c:showSerName val="0"/>
          <c:showPercent val="0"/>
          <c:showBubbleSize val="0"/>
        </c:dLbls>
        <c:marker val="1"/>
        <c:smooth val="0"/>
        <c:axId val="141080448"/>
        <c:axId val="141078528"/>
      </c:lineChart>
      <c:catAx>
        <c:axId val="141058048"/>
        <c:scaling>
          <c:orientation val="minMax"/>
        </c:scaling>
        <c:delete val="0"/>
        <c:axPos val="b"/>
        <c:majorGridlines>
          <c:spPr>
            <a:ln w="15875">
              <a:solidFill>
                <a:srgbClr val="969696"/>
              </a:solidFill>
              <a:prstDash val="sysDash"/>
            </a:ln>
          </c:spPr>
        </c:majorGridlines>
        <c:minorGridlines/>
        <c:title>
          <c:tx>
            <c:rich>
              <a:bodyPr/>
              <a:lstStyle/>
              <a:p>
                <a:pPr>
                  <a:defRPr sz="1200" b="1" i="0" u="none" strike="noStrike" baseline="0">
                    <a:solidFill>
                      <a:srgbClr val="0000FF"/>
                    </a:solidFill>
                    <a:latin typeface="Arial" pitchFamily="34" charset="0"/>
                    <a:ea typeface="Calibri"/>
                    <a:cs typeface="Arial" pitchFamily="34" charset="0"/>
                  </a:defRPr>
                </a:pPr>
                <a:r>
                  <a:rPr lang="en-US" sz="1200">
                    <a:solidFill>
                      <a:srgbClr val="0000FF"/>
                    </a:solidFill>
                    <a:latin typeface="Arial" pitchFamily="34" charset="0"/>
                    <a:cs typeface="Arial" pitchFamily="34" charset="0"/>
                  </a:rPr>
                  <a:t>Load Current (mA)</a:t>
                </a:r>
              </a:p>
            </c:rich>
          </c:tx>
          <c:layout>
            <c:manualLayout>
              <c:xMode val="edge"/>
              <c:yMode val="edge"/>
              <c:x val="0.42471011396394504"/>
              <c:y val="0.93853771636955563"/>
            </c:manualLayout>
          </c:layout>
          <c:overlay val="0"/>
          <c:spPr>
            <a:noFill/>
            <a:ln w="25400">
              <a:noFill/>
            </a:ln>
          </c:spPr>
        </c:title>
        <c:numFmt formatCode="0" sourceLinked="1"/>
        <c:majorTickMark val="in"/>
        <c:minorTickMark val="in"/>
        <c:tickLblPos val="nextTo"/>
        <c:spPr>
          <a:ln w="3175">
            <a:solidFill>
              <a:srgbClr val="000000"/>
            </a:solidFill>
            <a:prstDash val="solid"/>
          </a:ln>
        </c:spPr>
        <c:txPr>
          <a:bodyPr rot="0" vert="horz"/>
          <a:lstStyle/>
          <a:p>
            <a:pPr>
              <a:defRPr sz="1100" b="1" i="0" u="none" strike="noStrike" baseline="0">
                <a:solidFill>
                  <a:srgbClr val="0000FF"/>
                </a:solidFill>
                <a:latin typeface="Arial" pitchFamily="34" charset="0"/>
                <a:ea typeface="Calibri"/>
                <a:cs typeface="Arial" pitchFamily="34" charset="0"/>
              </a:defRPr>
            </a:pPr>
            <a:endParaRPr lang="ja-JP"/>
          </a:p>
        </c:txPr>
        <c:crossAx val="141059968"/>
        <c:crosses val="autoZero"/>
        <c:auto val="1"/>
        <c:lblAlgn val="ctr"/>
        <c:lblOffset val="100"/>
        <c:tickLblSkip val="20"/>
        <c:tickMarkSkip val="20"/>
        <c:noMultiLvlLbl val="0"/>
      </c:catAx>
      <c:valAx>
        <c:axId val="141059968"/>
        <c:scaling>
          <c:orientation val="minMax"/>
          <c:max val="100"/>
          <c:min val="55"/>
        </c:scaling>
        <c:delete val="0"/>
        <c:axPos val="l"/>
        <c:majorGridlines>
          <c:spPr>
            <a:ln w="15875">
              <a:solidFill>
                <a:srgbClr val="808080"/>
              </a:solidFill>
              <a:prstDash val="solid"/>
            </a:ln>
          </c:spPr>
        </c:maj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200" b="1">
                    <a:solidFill>
                      <a:srgbClr val="FF0000"/>
                    </a:solidFill>
                    <a:latin typeface="Arial" pitchFamily="34" charset="0"/>
                    <a:cs typeface="Arial" pitchFamily="34" charset="0"/>
                  </a:rPr>
                  <a:t>Efficiency  (%)</a:t>
                </a:r>
              </a:p>
            </c:rich>
          </c:tx>
          <c:layout>
            <c:manualLayout>
              <c:xMode val="edge"/>
              <c:yMode val="edge"/>
              <c:x val="1.2871858674081443E-2"/>
              <c:y val="0.37638177915688309"/>
            </c:manualLayout>
          </c:layout>
          <c:overlay val="0"/>
          <c:spPr>
            <a:noFill/>
            <a:ln w="25400">
              <a:noFill/>
            </a:ln>
          </c:spPr>
        </c:title>
        <c:numFmt formatCode="General" sourceLinked="0"/>
        <c:majorTickMark val="in"/>
        <c:minorTickMark val="in"/>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141058048"/>
        <c:crossesAt val="0"/>
        <c:crossBetween val="between"/>
        <c:majorUnit val="5"/>
        <c:minorUnit val="2.5"/>
      </c:valAx>
      <c:valAx>
        <c:axId val="141078528"/>
        <c:scaling>
          <c:orientation val="minMax"/>
        </c:scaling>
        <c:delete val="0"/>
        <c:axPos val="r"/>
        <c:title>
          <c:tx>
            <c:rich>
              <a:bodyPr rot="-5400000" vert="horz"/>
              <a:lstStyle/>
              <a:p>
                <a:pPr>
                  <a:defRPr sz="1200" b="1"/>
                </a:pPr>
                <a:r>
                  <a:rPr lang="en-US" sz="1200" b="1"/>
                  <a:t>Power Loss (mW)</a:t>
                </a:r>
              </a:p>
            </c:rich>
          </c:tx>
          <c:layout>
            <c:manualLayout>
              <c:xMode val="edge"/>
              <c:yMode val="edge"/>
              <c:x val="0.95168474305601269"/>
              <c:y val="0.38117714045368295"/>
            </c:manualLayout>
          </c:layout>
          <c:overlay val="0"/>
        </c:title>
        <c:numFmt formatCode="General" sourceLinked="0"/>
        <c:majorTickMark val="out"/>
        <c:minorTickMark val="none"/>
        <c:tickLblPos val="nextTo"/>
        <c:txPr>
          <a:bodyPr/>
          <a:lstStyle/>
          <a:p>
            <a:pPr>
              <a:defRPr sz="1100" b="1">
                <a:solidFill>
                  <a:sysClr val="windowText" lastClr="000000"/>
                </a:solidFill>
              </a:defRPr>
            </a:pPr>
            <a:endParaRPr lang="ja-JP"/>
          </a:p>
        </c:txPr>
        <c:crossAx val="141080448"/>
        <c:crosses val="max"/>
        <c:crossBetween val="between"/>
      </c:valAx>
      <c:catAx>
        <c:axId val="141080448"/>
        <c:scaling>
          <c:orientation val="minMax"/>
        </c:scaling>
        <c:delete val="1"/>
        <c:axPos val="b"/>
        <c:numFmt formatCode="General" sourceLinked="1"/>
        <c:majorTickMark val="out"/>
        <c:minorTickMark val="none"/>
        <c:tickLblPos val="nextTo"/>
        <c:crossAx val="141078528"/>
        <c:crosses val="autoZero"/>
        <c:auto val="1"/>
        <c:lblAlgn val="ctr"/>
        <c:lblOffset val="100"/>
        <c:noMultiLvlLbl val="0"/>
      </c:catAx>
      <c:spPr>
        <a:noFill/>
        <a:ln w="25400">
          <a:noFill/>
        </a:ln>
      </c:spPr>
    </c:plotArea>
    <c:legend>
      <c:legendPos val="t"/>
      <c:layout>
        <c:manualLayout>
          <c:xMode val="edge"/>
          <c:yMode val="edge"/>
          <c:x val="0.40102557566231317"/>
          <c:y val="1.1892633038167682E-2"/>
          <c:w val="0.54467583520385743"/>
          <c:h val="8.9795049320617604E-2"/>
        </c:manualLayout>
      </c:layout>
      <c:overlay val="0"/>
      <c:spPr>
        <a:solidFill>
          <a:srgbClr val="FFFFFF"/>
        </a:solidFill>
        <a:ln w="25400">
          <a:noFill/>
        </a:ln>
      </c:spPr>
      <c:txPr>
        <a:bodyPr/>
        <a:lstStyle/>
        <a:p>
          <a:pPr>
            <a:defRPr sz="11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000000"/>
                </a:solidFill>
                <a:latin typeface="Arial" pitchFamily="34" charset="0"/>
                <a:ea typeface="Calibri"/>
                <a:cs typeface="Arial" pitchFamily="34" charset="0"/>
              </a:defRPr>
            </a:pPr>
            <a:r>
              <a:rPr lang="en-US" sz="1800" b="1" i="0" baseline="0">
                <a:effectLst/>
                <a:sym typeface="Symbol"/>
              </a:rPr>
              <a:t></a:t>
            </a:r>
            <a:r>
              <a:rPr lang="en-US" sz="1800" b="1" i="0" baseline="0">
                <a:effectLst/>
              </a:rPr>
              <a:t>, V</a:t>
            </a:r>
            <a:r>
              <a:rPr lang="en-US" sz="1800" b="1" i="0" baseline="-25000">
                <a:effectLst/>
              </a:rPr>
              <a:t>IN</a:t>
            </a:r>
            <a:r>
              <a:rPr lang="en-US" sz="1800" b="1" i="0" baseline="0">
                <a:effectLst/>
              </a:rPr>
              <a:t> = V</a:t>
            </a:r>
            <a:r>
              <a:rPr lang="en-US" sz="1800" b="1" i="0" baseline="-25000">
                <a:effectLst/>
              </a:rPr>
              <a:t>IN(nom)</a:t>
            </a:r>
            <a:endParaRPr lang="en-US">
              <a:effectLst/>
            </a:endParaRPr>
          </a:p>
        </c:rich>
      </c:tx>
      <c:layout>
        <c:manualLayout>
          <c:xMode val="edge"/>
          <c:yMode val="edge"/>
          <c:x val="8.2586704916618195E-2"/>
          <c:y val="1.8363289746112718E-2"/>
        </c:manualLayout>
      </c:layout>
      <c:overlay val="0"/>
      <c:spPr>
        <a:noFill/>
        <a:ln w="25400">
          <a:noFill/>
        </a:ln>
      </c:spPr>
    </c:title>
    <c:autoTitleDeleted val="0"/>
    <c:plotArea>
      <c:layout>
        <c:manualLayout>
          <c:layoutTarget val="inner"/>
          <c:xMode val="edge"/>
          <c:yMode val="edge"/>
          <c:x val="7.6761884085804283E-2"/>
          <c:y val="0.12133523343001466"/>
          <c:w val="0.82579990228506128"/>
          <c:h val="0.7558980268938309"/>
        </c:manualLayout>
      </c:layout>
      <c:lineChart>
        <c:grouping val="standard"/>
        <c:varyColors val="0"/>
        <c:ser>
          <c:idx val="0"/>
          <c:order val="0"/>
          <c:tx>
            <c:v>Efficiency</c:v>
          </c:tx>
          <c:spPr>
            <a:ln w="38100">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Dual'!$CA$5:$CA$105</c:f>
              <c:numCache>
                <c:formatCode>0.00</c:formatCode>
                <c:ptCount val="101"/>
                <c:pt idx="0">
                  <c:v>1.0709284977709222E-4</c:v>
                </c:pt>
                <c:pt idx="1">
                  <c:v>74.077590689800303</c:v>
                </c:pt>
                <c:pt idx="2">
                  <c:v>82.508065466030615</c:v>
                </c:pt>
                <c:pt idx="3">
                  <c:v>85.758424826439025</c:v>
                </c:pt>
                <c:pt idx="4">
                  <c:v>87.478683727343878</c:v>
                </c:pt>
                <c:pt idx="5">
                  <c:v>88.541647862982174</c:v>
                </c:pt>
                <c:pt idx="6">
                  <c:v>89.26218792146085</c:v>
                </c:pt>
                <c:pt idx="7">
                  <c:v>89.781643382766006</c:v>
                </c:pt>
                <c:pt idx="8">
                  <c:v>90.172899133814042</c:v>
                </c:pt>
                <c:pt idx="9">
                  <c:v>90.477357150702346</c:v>
                </c:pt>
                <c:pt idx="10">
                  <c:v>90.720281739224305</c:v>
                </c:pt>
                <c:pt idx="11">
                  <c:v>90.917966173508432</c:v>
                </c:pt>
                <c:pt idx="12">
                  <c:v>91.08139141683283</c:v>
                </c:pt>
                <c:pt idx="13">
                  <c:v>91.218229109543685</c:v>
                </c:pt>
                <c:pt idx="14">
                  <c:v>91.334001721863885</c:v>
                </c:pt>
                <c:pt idx="15">
                  <c:v>91.432786541067586</c:v>
                </c:pt>
                <c:pt idx="16">
                  <c:v>91.517659892400772</c:v>
                </c:pt>
                <c:pt idx="17">
                  <c:v>91.590986951332212</c:v>
                </c:pt>
                <c:pt idx="18">
                  <c:v>91.550126372802367</c:v>
                </c:pt>
                <c:pt idx="19">
                  <c:v>91.48369143967949</c:v>
                </c:pt>
                <c:pt idx="20">
                  <c:v>91.413823066029053</c:v>
                </c:pt>
                <c:pt idx="21">
                  <c:v>91.340686490505135</c:v>
                </c:pt>
                <c:pt idx="22">
                  <c:v>91.264397494377732</c:v>
                </c:pt>
                <c:pt idx="23">
                  <c:v>91.185034225735052</c:v>
                </c:pt>
                <c:pt idx="24">
                  <c:v>91.102645974827652</c:v>
                </c:pt>
                <c:pt idx="25">
                  <c:v>91.017259771202902</c:v>
                </c:pt>
                <c:pt idx="26">
                  <c:v>91.095638408573194</c:v>
                </c:pt>
                <c:pt idx="27">
                  <c:v>91.215858908225599</c:v>
                </c:pt>
                <c:pt idx="28">
                  <c:v>91.328259513945781</c:v>
                </c:pt>
                <c:pt idx="29">
                  <c:v>91.43359504684615</c:v>
                </c:pt>
                <c:pt idx="30">
                  <c:v>91.532525044155989</c:v>
                </c:pt>
                <c:pt idx="31">
                  <c:v>91.625628431911267</c:v>
                </c:pt>
                <c:pt idx="32">
                  <c:v>91.713415556449903</c:v>
                </c:pt>
                <c:pt idx="33">
                  <c:v>91.798938784464937</c:v>
                </c:pt>
                <c:pt idx="34">
                  <c:v>92.020227432329705</c:v>
                </c:pt>
                <c:pt idx="35">
                  <c:v>92.225227220077372</c:v>
                </c:pt>
                <c:pt idx="36">
                  <c:v>92.415532600976221</c:v>
                </c:pt>
                <c:pt idx="37">
                  <c:v>92.592546530306336</c:v>
                </c:pt>
                <c:pt idx="38">
                  <c:v>92.757507390270902</c:v>
                </c:pt>
                <c:pt idx="39">
                  <c:v>92.911511618110154</c:v>
                </c:pt>
                <c:pt idx="40">
                  <c:v>93.055532798725665</c:v>
                </c:pt>
                <c:pt idx="41">
                  <c:v>93.19043783583021</c:v>
                </c:pt>
                <c:pt idx="42">
                  <c:v>93.317000699058255</c:v>
                </c:pt>
                <c:pt idx="43">
                  <c:v>93.43591415177616</c:v>
                </c:pt>
                <c:pt idx="44">
                  <c:v>93.547799790295713</c:v>
                </c:pt>
                <c:pt idx="45">
                  <c:v>93.653216665804393</c:v>
                </c:pt>
                <c:pt idx="46">
                  <c:v>93.752668712480286</c:v>
                </c:pt>
                <c:pt idx="47">
                  <c:v>93.846611166555675</c:v>
                </c:pt>
                <c:pt idx="48">
                  <c:v>93.935456129657553</c:v>
                </c:pt>
                <c:pt idx="49">
                  <c:v>94.019577404122302</c:v>
                </c:pt>
                <c:pt idx="50">
                  <c:v>94.099314707002762</c:v>
                </c:pt>
                <c:pt idx="51">
                  <c:v>94.174977352252981</c:v>
                </c:pt>
                <c:pt idx="52">
                  <c:v>93.031110628822219</c:v>
                </c:pt>
                <c:pt idx="53">
                  <c:v>93.058417091848426</c:v>
                </c:pt>
                <c:pt idx="54">
                  <c:v>93.083182031850271</c:v>
                </c:pt>
                <c:pt idx="55">
                  <c:v>93.105563687827072</c:v>
                </c:pt>
                <c:pt idx="56">
                  <c:v>93.125707675374684</c:v>
                </c:pt>
                <c:pt idx="57">
                  <c:v>93.143748196301345</c:v>
                </c:pt>
                <c:pt idx="58">
                  <c:v>93.159809113673518</c:v>
                </c:pt>
                <c:pt idx="59">
                  <c:v>93.17400490924264</c:v>
                </c:pt>
                <c:pt idx="60">
                  <c:v>93.186441537831016</c:v>
                </c:pt>
                <c:pt idx="61">
                  <c:v>93.197217191244391</c:v>
                </c:pt>
                <c:pt idx="62">
                  <c:v>93.20642298257323</c:v>
                </c:pt>
                <c:pt idx="63">
                  <c:v>93.214143560293209</c:v>
                </c:pt>
                <c:pt idx="64">
                  <c:v>93.220457660336763</c:v>
                </c:pt>
                <c:pt idx="65">
                  <c:v>93.225438603247284</c:v>
                </c:pt>
                <c:pt idx="66">
                  <c:v>93.229154742619542</c:v>
                </c:pt>
                <c:pt idx="67">
                  <c:v>93.23166987024851</c:v>
                </c:pt>
                <c:pt idx="68">
                  <c:v>93.233043582735519</c:v>
                </c:pt>
                <c:pt idx="69">
                  <c:v>93.233331613719884</c:v>
                </c:pt>
                <c:pt idx="70">
                  <c:v>93.232586135400922</c:v>
                </c:pt>
                <c:pt idx="71">
                  <c:v>93.230856032579325</c:v>
                </c:pt>
                <c:pt idx="72">
                  <c:v>93.22818715206752</c:v>
                </c:pt>
                <c:pt idx="73">
                  <c:v>93.224622529988949</c:v>
                </c:pt>
                <c:pt idx="74">
                  <c:v>93.220202599197847</c:v>
                </c:pt>
                <c:pt idx="75">
                  <c:v>93.214965378799647</c:v>
                </c:pt>
                <c:pt idx="76">
                  <c:v>93.208946647531704</c:v>
                </c:pt>
                <c:pt idx="77">
                  <c:v>93.202180102570225</c:v>
                </c:pt>
                <c:pt idx="78">
                  <c:v>93.194697505159951</c:v>
                </c:pt>
                <c:pt idx="79">
                  <c:v>93.186528814312979</c:v>
                </c:pt>
                <c:pt idx="80">
                  <c:v>93.177702309691369</c:v>
                </c:pt>
                <c:pt idx="81">
                  <c:v>93.16824470467175</c:v>
                </c:pt>
                <c:pt idx="82">
                  <c:v>93.158181250486678</c:v>
                </c:pt>
                <c:pt idx="83">
                  <c:v>93.147535832246604</c:v>
                </c:pt>
                <c:pt idx="84">
                  <c:v>93.136331057564902</c:v>
                </c:pt>
                <c:pt idx="85">
                  <c:v>93.124588338436482</c:v>
                </c:pt>
                <c:pt idx="86">
                  <c:v>93.112327966956471</c:v>
                </c:pt>
                <c:pt idx="87">
                  <c:v>93.099569185408214</c:v>
                </c:pt>
                <c:pt idx="88">
                  <c:v>93.086330251199072</c:v>
                </c:pt>
                <c:pt idx="89">
                  <c:v>93.072628497076465</c:v>
                </c:pt>
                <c:pt idx="90">
                  <c:v>93.058480387016544</c:v>
                </c:pt>
                <c:pt idx="91">
                  <c:v>93.043901568140669</c:v>
                </c:pt>
                <c:pt idx="92">
                  <c:v>93.028906918982486</c:v>
                </c:pt>
                <c:pt idx="93">
                  <c:v>93.013510594399179</c:v>
                </c:pt>
                <c:pt idx="94">
                  <c:v>92.997726067393288</c:v>
                </c:pt>
                <c:pt idx="95">
                  <c:v>92.981566168088506</c:v>
                </c:pt>
                <c:pt idx="96">
                  <c:v>92.965043120080736</c:v>
                </c:pt>
                <c:pt idx="97">
                  <c:v>92.948168574366974</c:v>
                </c:pt>
                <c:pt idx="98">
                  <c:v>92.93095364103624</c:v>
                </c:pt>
                <c:pt idx="99">
                  <c:v>92.913408918891875</c:v>
                </c:pt>
                <c:pt idx="100">
                  <c:v>92.895544523159515</c:v>
                </c:pt>
              </c:numCache>
            </c:numRef>
          </c:val>
          <c:smooth val="0"/>
          <c:extLst>
            <c:ext xmlns:c16="http://schemas.microsoft.com/office/drawing/2014/chart" uri="{C3380CC4-5D6E-409C-BE32-E72D297353CC}">
              <c16:uniqueId val="{00000000-E6A8-452D-85FA-99770E603B62}"/>
            </c:ext>
          </c:extLst>
        </c:ser>
        <c:dLbls>
          <c:showLegendKey val="0"/>
          <c:showVal val="0"/>
          <c:showCatName val="0"/>
          <c:showSerName val="0"/>
          <c:showPercent val="0"/>
          <c:showBubbleSize val="0"/>
        </c:dLbls>
        <c:marker val="1"/>
        <c:smooth val="0"/>
        <c:axId val="141133312"/>
        <c:axId val="141135232"/>
      </c:lineChart>
      <c:lineChart>
        <c:grouping val="standard"/>
        <c:varyColors val="0"/>
        <c:ser>
          <c:idx val="2"/>
          <c:order val="1"/>
          <c:tx>
            <c:strRef>
              <c:f>'Calculations - Dual'!$BL$3</c:f>
              <c:strCache>
                <c:ptCount val="1"/>
                <c:pt idx="0">
                  <c:v>Flyback Diode Loss</c:v>
                </c:pt>
              </c:strCache>
            </c:strRef>
          </c:tx>
          <c:spPr>
            <a:ln w="38100">
              <a:solidFill>
                <a:srgbClr val="808000"/>
              </a:solidFill>
              <a:prstDash val="sys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Dual'!$BP$5:$BP$105</c:f>
              <c:numCache>
                <c:formatCode>0.0</c:formatCode>
                <c:ptCount val="101"/>
                <c:pt idx="0">
                  <c:v>5.9999999999999997E-7</c:v>
                </c:pt>
                <c:pt idx="1">
                  <c:v>1.8</c:v>
                </c:pt>
                <c:pt idx="2">
                  <c:v>3.6</c:v>
                </c:pt>
                <c:pt idx="3">
                  <c:v>5.4</c:v>
                </c:pt>
                <c:pt idx="4">
                  <c:v>7.2</c:v>
                </c:pt>
                <c:pt idx="5">
                  <c:v>9.0000000000000018</c:v>
                </c:pt>
                <c:pt idx="6">
                  <c:v>10.8</c:v>
                </c:pt>
                <c:pt idx="7">
                  <c:v>12.600000000000001</c:v>
                </c:pt>
                <c:pt idx="8">
                  <c:v>14.4</c:v>
                </c:pt>
                <c:pt idx="9">
                  <c:v>16.2</c:v>
                </c:pt>
                <c:pt idx="10">
                  <c:v>18.000000000000004</c:v>
                </c:pt>
                <c:pt idx="11">
                  <c:v>19.8</c:v>
                </c:pt>
                <c:pt idx="12">
                  <c:v>21.6</c:v>
                </c:pt>
                <c:pt idx="13">
                  <c:v>23.400000000000002</c:v>
                </c:pt>
                <c:pt idx="14">
                  <c:v>25.200000000000003</c:v>
                </c:pt>
                <c:pt idx="15">
                  <c:v>26.999999999999996</c:v>
                </c:pt>
                <c:pt idx="16">
                  <c:v>28.8</c:v>
                </c:pt>
                <c:pt idx="17">
                  <c:v>30.6</c:v>
                </c:pt>
                <c:pt idx="18">
                  <c:v>32.4</c:v>
                </c:pt>
                <c:pt idx="19">
                  <c:v>34.20000000000001</c:v>
                </c:pt>
                <c:pt idx="20">
                  <c:v>36.000000000000007</c:v>
                </c:pt>
                <c:pt idx="21">
                  <c:v>37.799999999999997</c:v>
                </c:pt>
                <c:pt idx="22">
                  <c:v>39.6</c:v>
                </c:pt>
                <c:pt idx="23">
                  <c:v>41.400000000000006</c:v>
                </c:pt>
                <c:pt idx="24">
                  <c:v>43.2</c:v>
                </c:pt>
                <c:pt idx="25">
                  <c:v>45</c:v>
                </c:pt>
                <c:pt idx="26">
                  <c:v>46.800000000000004</c:v>
                </c:pt>
                <c:pt idx="27">
                  <c:v>48.6</c:v>
                </c:pt>
                <c:pt idx="28">
                  <c:v>50.400000000000006</c:v>
                </c:pt>
                <c:pt idx="29">
                  <c:v>52.199999999999996</c:v>
                </c:pt>
                <c:pt idx="30">
                  <c:v>53.999999999999993</c:v>
                </c:pt>
                <c:pt idx="31">
                  <c:v>55.8</c:v>
                </c:pt>
                <c:pt idx="32">
                  <c:v>57.6</c:v>
                </c:pt>
                <c:pt idx="33">
                  <c:v>59.400000000000006</c:v>
                </c:pt>
                <c:pt idx="34">
                  <c:v>61.2</c:v>
                </c:pt>
                <c:pt idx="35">
                  <c:v>63</c:v>
                </c:pt>
                <c:pt idx="36">
                  <c:v>64.8</c:v>
                </c:pt>
                <c:pt idx="37">
                  <c:v>66.599999999999994</c:v>
                </c:pt>
                <c:pt idx="38">
                  <c:v>68.40000000000002</c:v>
                </c:pt>
                <c:pt idx="39">
                  <c:v>70.200000000000017</c:v>
                </c:pt>
                <c:pt idx="40">
                  <c:v>72.000000000000014</c:v>
                </c:pt>
                <c:pt idx="41">
                  <c:v>73.800000000000011</c:v>
                </c:pt>
                <c:pt idx="42">
                  <c:v>75.599999999999994</c:v>
                </c:pt>
                <c:pt idx="43">
                  <c:v>77.399999999999991</c:v>
                </c:pt>
                <c:pt idx="44">
                  <c:v>79.2</c:v>
                </c:pt>
                <c:pt idx="45">
                  <c:v>81.000000000000014</c:v>
                </c:pt>
                <c:pt idx="46">
                  <c:v>82.800000000000011</c:v>
                </c:pt>
                <c:pt idx="47">
                  <c:v>84.6</c:v>
                </c:pt>
                <c:pt idx="48">
                  <c:v>86.4</c:v>
                </c:pt>
                <c:pt idx="49">
                  <c:v>88.2</c:v>
                </c:pt>
                <c:pt idx="50">
                  <c:v>90</c:v>
                </c:pt>
                <c:pt idx="51">
                  <c:v>91.800000000000011</c:v>
                </c:pt>
                <c:pt idx="52">
                  <c:v>93.600000000000009</c:v>
                </c:pt>
                <c:pt idx="53">
                  <c:v>95.4</c:v>
                </c:pt>
                <c:pt idx="54">
                  <c:v>97.2</c:v>
                </c:pt>
                <c:pt idx="55">
                  <c:v>99</c:v>
                </c:pt>
                <c:pt idx="56">
                  <c:v>100.80000000000001</c:v>
                </c:pt>
                <c:pt idx="57">
                  <c:v>102.59999999999998</c:v>
                </c:pt>
                <c:pt idx="58">
                  <c:v>104.39999999999999</c:v>
                </c:pt>
                <c:pt idx="59">
                  <c:v>106.19999999999999</c:v>
                </c:pt>
                <c:pt idx="60">
                  <c:v>107.99999999999999</c:v>
                </c:pt>
                <c:pt idx="61">
                  <c:v>109.80000000000001</c:v>
                </c:pt>
                <c:pt idx="62">
                  <c:v>111.6</c:v>
                </c:pt>
                <c:pt idx="63">
                  <c:v>113.4</c:v>
                </c:pt>
                <c:pt idx="64">
                  <c:v>115.2</c:v>
                </c:pt>
                <c:pt idx="65">
                  <c:v>117</c:v>
                </c:pt>
                <c:pt idx="66">
                  <c:v>118.80000000000001</c:v>
                </c:pt>
                <c:pt idx="67">
                  <c:v>120.6</c:v>
                </c:pt>
                <c:pt idx="68">
                  <c:v>122.4</c:v>
                </c:pt>
                <c:pt idx="69">
                  <c:v>124.19999999999997</c:v>
                </c:pt>
                <c:pt idx="70">
                  <c:v>126</c:v>
                </c:pt>
                <c:pt idx="71">
                  <c:v>127.79999999999997</c:v>
                </c:pt>
                <c:pt idx="72">
                  <c:v>129.6</c:v>
                </c:pt>
                <c:pt idx="73">
                  <c:v>131.39999999999998</c:v>
                </c:pt>
                <c:pt idx="74">
                  <c:v>133.19999999999999</c:v>
                </c:pt>
                <c:pt idx="75">
                  <c:v>135</c:v>
                </c:pt>
                <c:pt idx="76">
                  <c:v>136.80000000000004</c:v>
                </c:pt>
                <c:pt idx="77">
                  <c:v>138.6</c:v>
                </c:pt>
                <c:pt idx="78">
                  <c:v>140.40000000000003</c:v>
                </c:pt>
                <c:pt idx="79">
                  <c:v>142.20000000000002</c:v>
                </c:pt>
                <c:pt idx="80">
                  <c:v>144.00000000000003</c:v>
                </c:pt>
                <c:pt idx="81">
                  <c:v>145.80000000000004</c:v>
                </c:pt>
                <c:pt idx="82">
                  <c:v>147.60000000000002</c:v>
                </c:pt>
                <c:pt idx="83">
                  <c:v>149.4</c:v>
                </c:pt>
                <c:pt idx="84">
                  <c:v>151.19999999999999</c:v>
                </c:pt>
                <c:pt idx="85">
                  <c:v>153.00000000000003</c:v>
                </c:pt>
                <c:pt idx="86">
                  <c:v>154.79999999999998</c:v>
                </c:pt>
                <c:pt idx="87">
                  <c:v>156.60000000000002</c:v>
                </c:pt>
                <c:pt idx="88">
                  <c:v>158.4</c:v>
                </c:pt>
                <c:pt idx="89">
                  <c:v>160.20000000000002</c:v>
                </c:pt>
                <c:pt idx="90">
                  <c:v>162.00000000000003</c:v>
                </c:pt>
                <c:pt idx="91">
                  <c:v>163.80000000000001</c:v>
                </c:pt>
                <c:pt idx="92">
                  <c:v>165.60000000000002</c:v>
                </c:pt>
                <c:pt idx="93">
                  <c:v>167.40000000000003</c:v>
                </c:pt>
                <c:pt idx="94">
                  <c:v>169.2</c:v>
                </c:pt>
                <c:pt idx="95">
                  <c:v>170.99999999999997</c:v>
                </c:pt>
                <c:pt idx="96">
                  <c:v>172.8</c:v>
                </c:pt>
                <c:pt idx="97">
                  <c:v>174.6</c:v>
                </c:pt>
                <c:pt idx="98">
                  <c:v>176.4</c:v>
                </c:pt>
                <c:pt idx="99">
                  <c:v>178.2</c:v>
                </c:pt>
                <c:pt idx="100">
                  <c:v>180</c:v>
                </c:pt>
              </c:numCache>
            </c:numRef>
          </c:val>
          <c:smooth val="0"/>
          <c:extLst>
            <c:ext xmlns:c16="http://schemas.microsoft.com/office/drawing/2014/chart" uri="{C3380CC4-5D6E-409C-BE32-E72D297353CC}">
              <c16:uniqueId val="{00000001-E6A8-452D-85FA-99770E603B62}"/>
            </c:ext>
          </c:extLst>
        </c:ser>
        <c:ser>
          <c:idx val="3"/>
          <c:order val="2"/>
          <c:tx>
            <c:strRef>
              <c:f>'Calculations - Dual'!$BE$3</c:f>
              <c:strCache>
                <c:ptCount val="1"/>
                <c:pt idx="0">
                  <c:v>IC Loss</c:v>
                </c:pt>
              </c:strCache>
            </c:strRef>
          </c:tx>
          <c:spPr>
            <a:ln w="38100">
              <a:solidFill>
                <a:srgbClr val="800080"/>
              </a:solidFill>
              <a:prstDash val="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Dual'!$BK$5:$BK$105</c:f>
              <c:numCache>
                <c:formatCode>0.0</c:formatCode>
                <c:ptCount val="101"/>
                <c:pt idx="0">
                  <c:v>9.4159133352261968</c:v>
                </c:pt>
                <c:pt idx="1">
                  <c:v>10.366980396046998</c:v>
                </c:pt>
                <c:pt idx="2">
                  <c:v>13.774287007203034</c:v>
                </c:pt>
                <c:pt idx="3">
                  <c:v>17.181919880322532</c:v>
                </c:pt>
                <c:pt idx="4">
                  <c:v>20.589879062268874</c:v>
                </c:pt>
                <c:pt idx="5">
                  <c:v>23.998164599914443</c:v>
                </c:pt>
                <c:pt idx="6">
                  <c:v>27.406776540140573</c:v>
                </c:pt>
                <c:pt idx="7">
                  <c:v>30.81571492983759</c:v>
                </c:pt>
                <c:pt idx="8">
                  <c:v>34.22497981590481</c:v>
                </c:pt>
                <c:pt idx="9">
                  <c:v>37.634571245250513</c:v>
                </c:pt>
                <c:pt idx="10">
                  <c:v>41.044489264792013</c:v>
                </c:pt>
                <c:pt idx="11">
                  <c:v>44.454733921455521</c:v>
                </c:pt>
                <c:pt idx="12">
                  <c:v>47.865305262176335</c:v>
                </c:pt>
                <c:pt idx="13">
                  <c:v>51.276203333898678</c:v>
                </c:pt>
                <c:pt idx="14">
                  <c:v>54.687428183575825</c:v>
                </c:pt>
                <c:pt idx="15">
                  <c:v>58.09897985816999</c:v>
                </c:pt>
                <c:pt idx="16">
                  <c:v>61.510858404652438</c:v>
                </c:pt>
                <c:pt idx="17">
                  <c:v>64.923063870003375</c:v>
                </c:pt>
                <c:pt idx="18">
                  <c:v>69.151860408808574</c:v>
                </c:pt>
                <c:pt idx="19">
                  <c:v>73.635508959505401</c:v>
                </c:pt>
                <c:pt idx="20">
                  <c:v>78.213842706001742</c:v>
                </c:pt>
                <c:pt idx="21">
                  <c:v>82.886361666527904</c:v>
                </c:pt>
                <c:pt idx="22">
                  <c:v>87.652667827565523</c:v>
                </c:pt>
                <c:pt idx="23">
                  <c:v>92.512453911498596</c:v>
                </c:pt>
                <c:pt idx="24">
                  <c:v>97.46549396573279</c:v>
                </c:pt>
                <c:pt idx="25">
                  <c:v>102.51163542199603</c:v>
                </c:pt>
                <c:pt idx="26">
                  <c:v>104.66206984788769</c:v>
                </c:pt>
                <c:pt idx="27">
                  <c:v>105.92252618443669</c:v>
                </c:pt>
                <c:pt idx="28">
                  <c:v>107.17474255464639</c:v>
                </c:pt>
                <c:pt idx="29">
                  <c:v>108.41943824790697</c:v>
                </c:pt>
                <c:pt idx="30">
                  <c:v>109.65726718462726</c:v>
                </c:pt>
                <c:pt idx="31">
                  <c:v>110.88882570009388</c:v>
                </c:pt>
                <c:pt idx="32">
                  <c:v>112.11465918941492</c:v>
                </c:pt>
                <c:pt idx="33">
                  <c:v>113.27901521642859</c:v>
                </c:pt>
                <c:pt idx="34">
                  <c:v>111.3210775565834</c:v>
                </c:pt>
                <c:pt idx="35">
                  <c:v>109.47040597937598</c:v>
                </c:pt>
                <c:pt idx="36">
                  <c:v>107.71841787787808</c:v>
                </c:pt>
                <c:pt idx="37">
                  <c:v>106.05743239336144</c:v>
                </c:pt>
                <c:pt idx="38">
                  <c:v>104.48055423906219</c:v>
                </c:pt>
                <c:pt idx="39">
                  <c:v>102.98157510790287</c:v>
                </c:pt>
                <c:pt idx="40">
                  <c:v>101.55488962700379</c:v>
                </c:pt>
                <c:pt idx="41">
                  <c:v>100.19542340807432</c:v>
                </c:pt>
                <c:pt idx="42">
                  <c:v>98.898571204538072</c:v>
                </c:pt>
                <c:pt idx="43">
                  <c:v>97.660143552252165</c:v>
                </c:pt>
                <c:pt idx="44">
                  <c:v>96.476320562511447</c:v>
                </c:pt>
                <c:pt idx="45">
                  <c:v>95.343611770045356</c:v>
                </c:pt>
                <c:pt idx="46">
                  <c:v>94.258821127378525</c:v>
                </c:pt>
                <c:pt idx="47">
                  <c:v>93.219016389809866</c:v>
                </c:pt>
                <c:pt idx="48">
                  <c:v>92.22150225976182</c:v>
                </c:pt>
                <c:pt idx="49">
                  <c:v>91.263796761104501</c:v>
                </c:pt>
                <c:pt idx="50">
                  <c:v>90.343610397762262</c:v>
                </c:pt>
                <c:pt idx="51">
                  <c:v>89.458827719987696</c:v>
                </c:pt>
                <c:pt idx="52">
                  <c:v>114.24144601533156</c:v>
                </c:pt>
                <c:pt idx="53">
                  <c:v>114.70622193259497</c:v>
                </c:pt>
                <c:pt idx="54">
                  <c:v>115.21102732191598</c:v>
                </c:pt>
                <c:pt idx="55">
                  <c:v>115.7548016272313</c:v>
                </c:pt>
                <c:pt idx="56">
                  <c:v>116.33656376113028</c:v>
                </c:pt>
                <c:pt idx="57">
                  <c:v>116.95540521046797</c:v>
                </c:pt>
                <c:pt idx="58">
                  <c:v>117.61048385570538</c:v>
                </c:pt>
                <c:pt idx="59">
                  <c:v>118.30101841930873</c:v>
                </c:pt>
                <c:pt idx="60">
                  <c:v>119.02628346982877</c:v>
                </c:pt>
                <c:pt idx="61">
                  <c:v>119.78560491790488</c:v>
                </c:pt>
                <c:pt idx="62">
                  <c:v>120.57835594866538</c:v>
                </c:pt>
                <c:pt idx="63">
                  <c:v>121.40395334204601</c:v>
                </c:pt>
                <c:pt idx="64">
                  <c:v>122.2618541386103</c:v>
                </c:pt>
                <c:pt idx="65">
                  <c:v>123.1515526136738</c:v>
                </c:pt>
                <c:pt idx="66">
                  <c:v>124.07257752704534</c:v>
                </c:pt>
                <c:pt idx="67">
                  <c:v>125.02448961959939</c:v>
                </c:pt>
                <c:pt idx="68">
                  <c:v>126.00687933128252</c:v>
                </c:pt>
                <c:pt idx="69">
                  <c:v>127.01936471809947</c:v>
                </c:pt>
                <c:pt idx="70">
                  <c:v>128.06158954819276</c:v>
                </c:pt>
                <c:pt idx="71">
                  <c:v>129.13322155936865</c:v>
                </c:pt>
                <c:pt idx="72">
                  <c:v>130.23395086238534</c:v>
                </c:pt>
                <c:pt idx="73">
                  <c:v>131.36348847603574</c:v>
                </c:pt>
                <c:pt idx="74">
                  <c:v>132.52156498156916</c:v>
                </c:pt>
                <c:pt idx="75">
                  <c:v>133.70792928532521</c:v>
                </c:pt>
                <c:pt idx="76">
                  <c:v>134.9223474796228</c:v>
                </c:pt>
                <c:pt idx="77">
                  <c:v>136.16460179298275</c:v>
                </c:pt>
                <c:pt idx="78">
                  <c:v>137.43448962167918</c:v>
                </c:pt>
                <c:pt idx="79">
                  <c:v>138.73182263542191</c:v>
                </c:pt>
                <c:pt idx="80">
                  <c:v>140.05642595069696</c:v>
                </c:pt>
                <c:pt idx="81">
                  <c:v>141.40813736592614</c:v>
                </c:pt>
                <c:pt idx="82">
                  <c:v>142.78680665318231</c:v>
                </c:pt>
                <c:pt idx="83">
                  <c:v>144.19229490169892</c:v>
                </c:pt>
                <c:pt idx="84">
                  <c:v>145.62447390887044</c:v>
                </c:pt>
                <c:pt idx="85">
                  <c:v>147.08322561484249</c:v>
                </c:pt>
                <c:pt idx="86">
                  <c:v>148.56844157715543</c:v>
                </c:pt>
                <c:pt idx="87">
                  <c:v>150.080022482229</c:v>
                </c:pt>
                <c:pt idx="88">
                  <c:v>151.61787769076923</c:v>
                </c:pt>
                <c:pt idx="89">
                  <c:v>153.18192481444049</c:v>
                </c:pt>
                <c:pt idx="90">
                  <c:v>154.77208932138151</c:v>
                </c:pt>
                <c:pt idx="91">
                  <c:v>156.38830416835884</c:v>
                </c:pt>
                <c:pt idx="92">
                  <c:v>158.03050945754103</c:v>
                </c:pt>
                <c:pt idx="93">
                  <c:v>159.69865211605259</c:v>
                </c:pt>
                <c:pt idx="94">
                  <c:v>161.39268559662219</c:v>
                </c:pt>
                <c:pt idx="95">
                  <c:v>163.11256959778228</c:v>
                </c:pt>
                <c:pt idx="96">
                  <c:v>164.85826980220591</c:v>
                </c:pt>
                <c:pt idx="97">
                  <c:v>166.62975763188308</c:v>
                </c:pt>
                <c:pt idx="98">
                  <c:v>168.42701001894596</c:v>
                </c:pt>
                <c:pt idx="99">
                  <c:v>170.25000919104781</c:v>
                </c:pt>
                <c:pt idx="100">
                  <c:v>172.09874247028773</c:v>
                </c:pt>
              </c:numCache>
            </c:numRef>
          </c:val>
          <c:smooth val="0"/>
          <c:extLst>
            <c:ext xmlns:c16="http://schemas.microsoft.com/office/drawing/2014/chart" uri="{C3380CC4-5D6E-409C-BE32-E72D297353CC}">
              <c16:uniqueId val="{00000002-E6A8-452D-85FA-99770E603B62}"/>
            </c:ext>
          </c:extLst>
        </c:ser>
        <c:ser>
          <c:idx val="1"/>
          <c:order val="3"/>
          <c:tx>
            <c:strRef>
              <c:f>'Calculations - Dual'!$BQ$3</c:f>
              <c:strCache>
                <c:ptCount val="1"/>
                <c:pt idx="0">
                  <c:v>Transformer Loss</c:v>
                </c:pt>
              </c:strCache>
            </c:strRef>
          </c:tx>
          <c:spPr>
            <a:ln w="38100">
              <a:solidFill>
                <a:srgbClr val="002060"/>
              </a:solidFill>
              <a:prstDash val="sysDot"/>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Dual'!$BW$5:$BW$105</c:f>
              <c:numCache>
                <c:formatCode>0.0</c:formatCode>
                <c:ptCount val="101"/>
                <c:pt idx="0">
                  <c:v>12.994521819981227</c:v>
                </c:pt>
                <c:pt idx="1">
                  <c:v>13.02840531985702</c:v>
                </c:pt>
                <c:pt idx="2">
                  <c:v>13.15410507985448</c:v>
                </c:pt>
                <c:pt idx="3">
                  <c:v>13.288377920912209</c:v>
                </c:pt>
                <c:pt idx="4">
                  <c:v>13.433181606598581</c:v>
                </c:pt>
                <c:pt idx="5">
                  <c:v>13.590157041781822</c:v>
                </c:pt>
                <c:pt idx="6">
                  <c:v>13.760746617709902</c:v>
                </c:pt>
                <c:pt idx="7">
                  <c:v>13.946252851590927</c:v>
                </c:pt>
                <c:pt idx="8">
                  <c:v>14.147872707370826</c:v>
                </c:pt>
                <c:pt idx="9">
                  <c:v>14.366719781263333</c:v>
                </c:pt>
                <c:pt idx="10">
                  <c:v>14.603839638817391</c:v>
                </c:pt>
                <c:pt idx="11">
                  <c:v>14.86022094735671</c:v>
                </c:pt>
                <c:pt idx="12">
                  <c:v>15.136803862304575</c:v>
                </c:pt>
                <c:pt idx="13">
                  <c:v>15.434486532663575</c:v>
                </c:pt>
                <c:pt idx="14">
                  <c:v>15.754130268692188</c:v>
                </c:pt>
                <c:pt idx="15">
                  <c:v>16.096563728278081</c:v>
                </c:pt>
                <c:pt idx="16">
                  <c:v>16.462586364838547</c:v>
                </c:pt>
                <c:pt idx="17">
                  <c:v>16.852971307327682</c:v>
                </c:pt>
                <c:pt idx="18">
                  <c:v>18.066065362853266</c:v>
                </c:pt>
                <c:pt idx="19">
                  <c:v>19.512982636946724</c:v>
                </c:pt>
                <c:pt idx="20">
                  <c:v>21.04026187277135</c:v>
                </c:pt>
                <c:pt idx="21">
                  <c:v>22.654820991621083</c:v>
                </c:pt>
                <c:pt idx="22">
                  <c:v>24.363896230265233</c:v>
                </c:pt>
                <c:pt idx="23">
                  <c:v>26.1750368278853</c:v>
                </c:pt>
                <c:pt idx="24">
                  <c:v>28.096100069043658</c:v>
                </c:pt>
                <c:pt idx="25">
                  <c:v>30.135246636196829</c:v>
                </c:pt>
                <c:pt idx="26">
                  <c:v>31.521058547227867</c:v>
                </c:pt>
                <c:pt idx="27">
                  <c:v>32.685822087439767</c:v>
                </c:pt>
                <c:pt idx="28">
                  <c:v>33.84715591277967</c:v>
                </c:pt>
                <c:pt idx="29">
                  <c:v>35.005086118885977</c:v>
                </c:pt>
                <c:pt idx="30">
                  <c:v>36.159638290229331</c:v>
                </c:pt>
                <c:pt idx="31">
                  <c:v>37.310837493093722</c:v>
                </c:pt>
                <c:pt idx="32">
                  <c:v>38.458708273800447</c:v>
                </c:pt>
                <c:pt idx="33">
                  <c:v>39.586199459548546</c:v>
                </c:pt>
                <c:pt idx="34">
                  <c:v>39.763588442772594</c:v>
                </c:pt>
                <c:pt idx="35">
                  <c:v>39.970679783975363</c:v>
                </c:pt>
                <c:pt idx="36">
                  <c:v>40.204908439477038</c:v>
                </c:pt>
                <c:pt idx="37">
                  <c:v>40.463998895981206</c:v>
                </c:pt>
                <c:pt idx="38">
                  <c:v>40.745925576168624</c:v>
                </c:pt>
                <c:pt idx="39">
                  <c:v>41.048879544036403</c:v>
                </c:pt>
                <c:pt idx="40">
                  <c:v>41.37124037462852</c:v>
                </c:pt>
                <c:pt idx="41">
                  <c:v>41.711552280158756</c:v>
                </c:pt>
                <c:pt idx="42">
                  <c:v>42.068503762025692</c:v>
                </c:pt>
                <c:pt idx="43">
                  <c:v>42.440910197695921</c:v>
                </c:pt>
                <c:pt idx="44">
                  <c:v>42.82769888171277</c:v>
                </c:pt>
                <c:pt idx="45">
                  <c:v>43.22789612779426</c:v>
                </c:pt>
                <c:pt idx="46">
                  <c:v>43.640616109130342</c:v>
                </c:pt>
                <c:pt idx="47">
                  <c:v>44.065051170387321</c:v>
                </c:pt>
                <c:pt idx="48">
                  <c:v>44.500463390504088</c:v>
                </c:pt>
                <c:pt idx="49">
                  <c:v>44.946177212373691</c:v>
                </c:pt>
                <c:pt idx="50">
                  <c:v>45.401572985695736</c:v>
                </c:pt>
                <c:pt idx="51">
                  <c:v>45.86608129402439</c:v>
                </c:pt>
                <c:pt idx="52">
                  <c:v>72.618731546024222</c:v>
                </c:pt>
                <c:pt idx="53">
                  <c:v>74.543799046826564</c:v>
                </c:pt>
                <c:pt idx="54">
                  <c:v>76.498179187207896</c:v>
                </c:pt>
                <c:pt idx="55">
                  <c:v>78.481893526082402</c:v>
                </c:pt>
                <c:pt idx="56">
                  <c:v>80.49496403899181</c:v>
                </c:pt>
                <c:pt idx="57">
                  <c:v>82.537413118873999</c:v>
                </c:pt>
                <c:pt idx="58">
                  <c:v>84.609263576846942</c:v>
                </c:pt>
                <c:pt idx="59">
                  <c:v>86.710538643007197</c:v>
                </c:pt>
                <c:pt idx="60">
                  <c:v>88.841261967244151</c:v>
                </c:pt>
                <c:pt idx="61">
                  <c:v>91.001457620068948</c:v>
                </c:pt>
                <c:pt idx="62">
                  <c:v>93.191150093458887</c:v>
                </c:pt>
                <c:pt idx="63">
                  <c:v>95.410364301717138</c:v>
                </c:pt>
                <c:pt idx="64">
                  <c:v>97.659125582347741</c:v>
                </c:pt>
                <c:pt idx="65">
                  <c:v>99.937459696945808</c:v>
                </c:pt>
                <c:pt idx="66">
                  <c:v>102.2453928321038</c:v>
                </c:pt>
                <c:pt idx="67">
                  <c:v>104.58295160033263</c:v>
                </c:pt>
                <c:pt idx="68">
                  <c:v>106.95016304099877</c:v>
                </c:pt>
                <c:pt idx="69">
                  <c:v>109.3470546212767</c:v>
                </c:pt>
                <c:pt idx="70">
                  <c:v>111.77365423711791</c:v>
                </c:pt>
                <c:pt idx="71">
                  <c:v>114.22999021423412</c:v>
                </c:pt>
                <c:pt idx="72">
                  <c:v>116.71609130909792</c:v>
                </c:pt>
                <c:pt idx="73">
                  <c:v>119.23198670995856</c:v>
                </c:pt>
                <c:pt idx="74">
                  <c:v>121.7777060378736</c:v>
                </c:pt>
                <c:pt idx="75">
                  <c:v>124.35327934775707</c:v>
                </c:pt>
                <c:pt idx="76">
                  <c:v>126.95873712944342</c:v>
                </c:pt>
                <c:pt idx="77">
                  <c:v>129.59411030876748</c:v>
                </c:pt>
                <c:pt idx="78">
                  <c:v>132.25943024866154</c:v>
                </c:pt>
                <c:pt idx="79">
                  <c:v>134.95472875026746</c:v>
                </c:pt>
                <c:pt idx="80">
                  <c:v>137.68003805406664</c:v>
                </c:pt>
                <c:pt idx="81">
                  <c:v>140.43539084102474</c:v>
                </c:pt>
                <c:pt idx="82">
                  <c:v>143.22082023375498</c:v>
                </c:pt>
                <c:pt idx="83">
                  <c:v>146.03635979769638</c:v>
                </c:pt>
                <c:pt idx="84">
                  <c:v>148.88204354230942</c:v>
                </c:pt>
                <c:pt idx="85">
                  <c:v>151.75790592228873</c:v>
                </c:pt>
                <c:pt idx="86">
                  <c:v>154.66398183879187</c:v>
                </c:pt>
                <c:pt idx="87">
                  <c:v>157.60030664068637</c:v>
                </c:pt>
                <c:pt idx="88">
                  <c:v>160.56691612581207</c:v>
                </c:pt>
                <c:pt idx="89">
                  <c:v>163.56384654226233</c:v>
                </c:pt>
                <c:pt idx="90">
                  <c:v>166.59113458968091</c:v>
                </c:pt>
                <c:pt idx="91">
                  <c:v>169.64881742057764</c:v>
                </c:pt>
                <c:pt idx="92">
                  <c:v>172.73693264166025</c:v>
                </c:pt>
                <c:pt idx="93">
                  <c:v>175.85551831518421</c:v>
                </c:pt>
                <c:pt idx="94">
                  <c:v>179.00461296032043</c:v>
                </c:pt>
                <c:pt idx="95">
                  <c:v>182.18425555453982</c:v>
                </c:pt>
                <c:pt idx="96">
                  <c:v>185.39448553501654</c:v>
                </c:pt>
                <c:pt idx="97">
                  <c:v>188.63534280004825</c:v>
                </c:pt>
                <c:pt idx="98">
                  <c:v>191.90686771049499</c:v>
                </c:pt>
                <c:pt idx="99">
                  <c:v>195.20910109123588</c:v>
                </c:pt>
                <c:pt idx="100">
                  <c:v>198.54208423264359</c:v>
                </c:pt>
              </c:numCache>
            </c:numRef>
          </c:val>
          <c:smooth val="0"/>
          <c:extLst>
            <c:ext xmlns:c16="http://schemas.microsoft.com/office/drawing/2014/chart" uri="{C3380CC4-5D6E-409C-BE32-E72D297353CC}">
              <c16:uniqueId val="{00000003-E6A8-452D-85FA-99770E603B62}"/>
            </c:ext>
          </c:extLst>
        </c:ser>
        <c:dLbls>
          <c:showLegendKey val="0"/>
          <c:showVal val="0"/>
          <c:showCatName val="0"/>
          <c:showSerName val="0"/>
          <c:showPercent val="0"/>
          <c:showBubbleSize val="0"/>
        </c:dLbls>
        <c:marker val="1"/>
        <c:smooth val="0"/>
        <c:axId val="141151616"/>
        <c:axId val="141149696"/>
      </c:lineChart>
      <c:catAx>
        <c:axId val="141133312"/>
        <c:scaling>
          <c:orientation val="minMax"/>
        </c:scaling>
        <c:delete val="0"/>
        <c:axPos val="b"/>
        <c:majorGridlines>
          <c:spPr>
            <a:ln w="15875">
              <a:solidFill>
                <a:srgbClr val="969696"/>
              </a:solidFill>
              <a:prstDash val="sysDash"/>
            </a:ln>
          </c:spPr>
        </c:majorGridlines>
        <c:minorGridlines/>
        <c:title>
          <c:tx>
            <c:rich>
              <a:bodyPr/>
              <a:lstStyle/>
              <a:p>
                <a:pPr>
                  <a:defRPr sz="1200" b="1" i="0" u="none" strike="noStrike" baseline="0">
                    <a:solidFill>
                      <a:srgbClr val="0000FF"/>
                    </a:solidFill>
                    <a:latin typeface="Arial" pitchFamily="34" charset="0"/>
                    <a:ea typeface="Calibri"/>
                    <a:cs typeface="Arial" pitchFamily="34" charset="0"/>
                  </a:defRPr>
                </a:pPr>
                <a:r>
                  <a:rPr lang="en-US" sz="1200">
                    <a:solidFill>
                      <a:srgbClr val="0000FF"/>
                    </a:solidFill>
                    <a:latin typeface="Arial" pitchFamily="34" charset="0"/>
                    <a:cs typeface="Arial" pitchFamily="34" charset="0"/>
                  </a:rPr>
                  <a:t>%</a:t>
                </a:r>
                <a:r>
                  <a:rPr lang="en-US" sz="1200" baseline="0">
                    <a:solidFill>
                      <a:srgbClr val="0000FF"/>
                    </a:solidFill>
                    <a:latin typeface="Arial" pitchFamily="34" charset="0"/>
                    <a:cs typeface="Arial" pitchFamily="34" charset="0"/>
                  </a:rPr>
                  <a:t> Total Rated Output Power</a:t>
                </a:r>
                <a:endParaRPr lang="en-US" sz="1200">
                  <a:solidFill>
                    <a:srgbClr val="0000FF"/>
                  </a:solidFill>
                  <a:latin typeface="Arial" pitchFamily="34" charset="0"/>
                  <a:cs typeface="Arial" pitchFamily="34" charset="0"/>
                </a:endParaRPr>
              </a:p>
            </c:rich>
          </c:tx>
          <c:layout>
            <c:manualLayout>
              <c:xMode val="edge"/>
              <c:yMode val="edge"/>
              <c:x val="0.37236214410842988"/>
              <c:y val="0.9410299506954154"/>
            </c:manualLayout>
          </c:layout>
          <c:overlay val="0"/>
          <c:spPr>
            <a:noFill/>
            <a:ln w="25400">
              <a:noFill/>
            </a:ln>
          </c:spPr>
        </c:title>
        <c:numFmt formatCode="General" sourceLinked="1"/>
        <c:majorTickMark val="in"/>
        <c:minorTickMark val="in"/>
        <c:tickLblPos val="nextTo"/>
        <c:spPr>
          <a:ln w="3175">
            <a:solidFill>
              <a:srgbClr val="000000"/>
            </a:solidFill>
            <a:prstDash val="solid"/>
          </a:ln>
        </c:spPr>
        <c:txPr>
          <a:bodyPr rot="0" vert="horz"/>
          <a:lstStyle/>
          <a:p>
            <a:pPr>
              <a:defRPr sz="1100" b="1" i="0" u="none" strike="noStrike" baseline="0">
                <a:solidFill>
                  <a:srgbClr val="0000FF"/>
                </a:solidFill>
                <a:latin typeface="Arial" pitchFamily="34" charset="0"/>
                <a:ea typeface="Calibri"/>
                <a:cs typeface="Arial" pitchFamily="34" charset="0"/>
              </a:defRPr>
            </a:pPr>
            <a:endParaRPr lang="ja-JP"/>
          </a:p>
        </c:txPr>
        <c:crossAx val="141135232"/>
        <c:crosses val="autoZero"/>
        <c:auto val="1"/>
        <c:lblAlgn val="ctr"/>
        <c:lblOffset val="100"/>
        <c:tickLblSkip val="20"/>
        <c:tickMarkSkip val="20"/>
        <c:noMultiLvlLbl val="0"/>
      </c:catAx>
      <c:valAx>
        <c:axId val="141135232"/>
        <c:scaling>
          <c:orientation val="minMax"/>
          <c:max val="100"/>
          <c:min val="55"/>
        </c:scaling>
        <c:delete val="0"/>
        <c:axPos val="l"/>
        <c:majorGridlines>
          <c:spPr>
            <a:ln w="15875">
              <a:solidFill>
                <a:srgbClr val="808080"/>
              </a:solidFill>
              <a:prstDash val="solid"/>
            </a:ln>
          </c:spPr>
        </c:maj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200" b="1">
                    <a:solidFill>
                      <a:srgbClr val="FF0000"/>
                    </a:solidFill>
                    <a:latin typeface="Arial" pitchFamily="34" charset="0"/>
                    <a:cs typeface="Arial" pitchFamily="34" charset="0"/>
                  </a:rPr>
                  <a:t>Efficiency  (%)</a:t>
                </a:r>
              </a:p>
            </c:rich>
          </c:tx>
          <c:layout>
            <c:manualLayout>
              <c:xMode val="edge"/>
              <c:yMode val="edge"/>
              <c:x val="1.2871858674081443E-2"/>
              <c:y val="0.37638177915688309"/>
            </c:manualLayout>
          </c:layout>
          <c:overlay val="0"/>
          <c:spPr>
            <a:noFill/>
            <a:ln w="25400">
              <a:noFill/>
            </a:ln>
          </c:spPr>
        </c:title>
        <c:numFmt formatCode="General" sourceLinked="0"/>
        <c:majorTickMark val="in"/>
        <c:minorTickMark val="in"/>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141133312"/>
        <c:crossesAt val="0"/>
        <c:crossBetween val="between"/>
        <c:majorUnit val="5"/>
        <c:minorUnit val="2.5"/>
      </c:valAx>
      <c:valAx>
        <c:axId val="141149696"/>
        <c:scaling>
          <c:orientation val="minMax"/>
        </c:scaling>
        <c:delete val="0"/>
        <c:axPos val="r"/>
        <c:title>
          <c:tx>
            <c:rich>
              <a:bodyPr rot="-5400000" vert="horz"/>
              <a:lstStyle/>
              <a:p>
                <a:pPr>
                  <a:defRPr sz="1200" b="1"/>
                </a:pPr>
                <a:r>
                  <a:rPr lang="en-US" sz="1200" b="1"/>
                  <a:t>Power Loss (mW)</a:t>
                </a:r>
              </a:p>
            </c:rich>
          </c:tx>
          <c:layout>
            <c:manualLayout>
              <c:xMode val="edge"/>
              <c:yMode val="edge"/>
              <c:x val="0.95168474305601269"/>
              <c:y val="0.38117714045368295"/>
            </c:manualLayout>
          </c:layout>
          <c:overlay val="0"/>
        </c:title>
        <c:numFmt formatCode="General" sourceLinked="0"/>
        <c:majorTickMark val="out"/>
        <c:minorTickMark val="none"/>
        <c:tickLblPos val="nextTo"/>
        <c:txPr>
          <a:bodyPr/>
          <a:lstStyle/>
          <a:p>
            <a:pPr>
              <a:defRPr sz="1100" b="1">
                <a:solidFill>
                  <a:sysClr val="windowText" lastClr="000000"/>
                </a:solidFill>
              </a:defRPr>
            </a:pPr>
            <a:endParaRPr lang="ja-JP"/>
          </a:p>
        </c:txPr>
        <c:crossAx val="141151616"/>
        <c:crosses val="max"/>
        <c:crossBetween val="between"/>
      </c:valAx>
      <c:catAx>
        <c:axId val="141151616"/>
        <c:scaling>
          <c:orientation val="minMax"/>
        </c:scaling>
        <c:delete val="1"/>
        <c:axPos val="b"/>
        <c:numFmt formatCode="General" sourceLinked="1"/>
        <c:majorTickMark val="out"/>
        <c:minorTickMark val="none"/>
        <c:tickLblPos val="nextTo"/>
        <c:crossAx val="141149696"/>
        <c:crosses val="autoZero"/>
        <c:auto val="1"/>
        <c:lblAlgn val="ctr"/>
        <c:lblOffset val="100"/>
        <c:noMultiLvlLbl val="0"/>
      </c:catAx>
      <c:spPr>
        <a:noFill/>
        <a:ln w="25400">
          <a:noFill/>
        </a:ln>
      </c:spPr>
    </c:plotArea>
    <c:legend>
      <c:legendPos val="t"/>
      <c:layout>
        <c:manualLayout>
          <c:xMode val="edge"/>
          <c:yMode val="edge"/>
          <c:x val="0.40102557566231317"/>
          <c:y val="1.1892633038167682E-2"/>
          <c:w val="0.50550962619267337"/>
          <c:h val="8.9795049320617604E-2"/>
        </c:manualLayout>
      </c:layout>
      <c:overlay val="0"/>
      <c:spPr>
        <a:solidFill>
          <a:srgbClr val="FFFFFF"/>
        </a:solidFill>
        <a:ln w="25400">
          <a:noFill/>
        </a:ln>
      </c:spPr>
      <c:txPr>
        <a:bodyPr/>
        <a:lstStyle/>
        <a:p>
          <a:pPr>
            <a:defRPr sz="11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val>
            <c:numRef>
              <c:f>'Calculations - Single'!$AJ$110:$AJ$210</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0.28999999999999998</c:v>
                </c:pt>
                <c:pt idx="19">
                  <c:v>0.28999999999999998</c:v>
                </c:pt>
                <c:pt idx="20">
                  <c:v>0.28999999999999998</c:v>
                </c:pt>
                <c:pt idx="21">
                  <c:v>0.28999999999999998</c:v>
                </c:pt>
                <c:pt idx="22">
                  <c:v>0.28999999999999998</c:v>
                </c:pt>
                <c:pt idx="23">
                  <c:v>0.28999999999999998</c:v>
                </c:pt>
                <c:pt idx="24">
                  <c:v>0.28999999999999998</c:v>
                </c:pt>
                <c:pt idx="25">
                  <c:v>0.28999999999999998</c:v>
                </c:pt>
                <c:pt idx="26">
                  <c:v>0.29439202887759491</c:v>
                </c:pt>
                <c:pt idx="27">
                  <c:v>0.30000000000000004</c:v>
                </c:pt>
                <c:pt idx="28">
                  <c:v>0.30550504633038938</c:v>
                </c:pt>
                <c:pt idx="29">
                  <c:v>0.31091263510296052</c:v>
                </c:pt>
                <c:pt idx="30">
                  <c:v>0.31622776601683794</c:v>
                </c:pt>
                <c:pt idx="31">
                  <c:v>0.32145502536643183</c:v>
                </c:pt>
                <c:pt idx="32">
                  <c:v>0.32659863237109044</c:v>
                </c:pt>
                <c:pt idx="33">
                  <c:v>0.33166247903554003</c:v>
                </c:pt>
                <c:pt idx="34">
                  <c:v>0.33665016461206926</c:v>
                </c:pt>
                <c:pt idx="35">
                  <c:v>0.34156502553198659</c:v>
                </c:pt>
                <c:pt idx="36">
                  <c:v>0.34641016151377546</c:v>
                </c:pt>
                <c:pt idx="37">
                  <c:v>0.35118845842842461</c:v>
                </c:pt>
                <c:pt idx="38">
                  <c:v>0.35590260840104376</c:v>
                </c:pt>
                <c:pt idx="39">
                  <c:v>0.36055512754639896</c:v>
                </c:pt>
                <c:pt idx="40">
                  <c:v>0.36514837167011077</c:v>
                </c:pt>
                <c:pt idx="41">
                  <c:v>0.36968455021364727</c:v>
                </c:pt>
                <c:pt idx="42">
                  <c:v>0.37416573867739417</c:v>
                </c:pt>
                <c:pt idx="43">
                  <c:v>0.37859388972001823</c:v>
                </c:pt>
                <c:pt idx="44">
                  <c:v>0.38297084310253526</c:v>
                </c:pt>
                <c:pt idx="45">
                  <c:v>0.3872983346207417</c:v>
                </c:pt>
                <c:pt idx="46">
                  <c:v>0.40493614989855592</c:v>
                </c:pt>
                <c:pt idx="47">
                  <c:v>0.41373910967895933</c:v>
                </c:pt>
                <c:pt idx="48">
                  <c:v>0.42254206945936273</c:v>
                </c:pt>
                <c:pt idx="49">
                  <c:v>0.43134502923976614</c:v>
                </c:pt>
                <c:pt idx="50">
                  <c:v>0.44014798902016955</c:v>
                </c:pt>
                <c:pt idx="51">
                  <c:v>0.4489509488005729</c:v>
                </c:pt>
                <c:pt idx="52">
                  <c:v>0.45775390858097631</c:v>
                </c:pt>
                <c:pt idx="53">
                  <c:v>0.46655686836137972</c:v>
                </c:pt>
                <c:pt idx="54">
                  <c:v>0.47535982814178313</c:v>
                </c:pt>
                <c:pt idx="55">
                  <c:v>0.48416278792218653</c:v>
                </c:pt>
                <c:pt idx="56">
                  <c:v>0.49296574770258988</c:v>
                </c:pt>
                <c:pt idx="57">
                  <c:v>0.50176870748299318</c:v>
                </c:pt>
                <c:pt idx="58">
                  <c:v>0.51057166726339653</c:v>
                </c:pt>
                <c:pt idx="59">
                  <c:v>0.51937462704379989</c:v>
                </c:pt>
                <c:pt idx="60">
                  <c:v>0.52817758682420335</c:v>
                </c:pt>
                <c:pt idx="61">
                  <c:v>0.5369805466046067</c:v>
                </c:pt>
                <c:pt idx="62">
                  <c:v>0.54578350638501016</c:v>
                </c:pt>
                <c:pt idx="63">
                  <c:v>0.55458646616541352</c:v>
                </c:pt>
                <c:pt idx="64">
                  <c:v>0.56338942594581687</c:v>
                </c:pt>
                <c:pt idx="65">
                  <c:v>0.57219238572622033</c:v>
                </c:pt>
                <c:pt idx="66">
                  <c:v>0.58099534550662368</c:v>
                </c:pt>
                <c:pt idx="67">
                  <c:v>0.58979830528702715</c:v>
                </c:pt>
                <c:pt idx="68">
                  <c:v>0.5986012650674305</c:v>
                </c:pt>
                <c:pt idx="69">
                  <c:v>0.60740422484783374</c:v>
                </c:pt>
                <c:pt idx="70">
                  <c:v>0.61620718462823709</c:v>
                </c:pt>
                <c:pt idx="71">
                  <c:v>0.62501014440864056</c:v>
                </c:pt>
                <c:pt idx="72">
                  <c:v>0.63381310418904391</c:v>
                </c:pt>
                <c:pt idx="73">
                  <c:v>0.64261606396944737</c:v>
                </c:pt>
                <c:pt idx="74">
                  <c:v>0.65141902374985072</c:v>
                </c:pt>
                <c:pt idx="75">
                  <c:v>0.6602219835302543</c:v>
                </c:pt>
                <c:pt idx="76">
                  <c:v>0.66902494331065765</c:v>
                </c:pt>
                <c:pt idx="77">
                  <c:v>0.67782790309106111</c:v>
                </c:pt>
                <c:pt idx="78">
                  <c:v>0.68663086287146446</c:v>
                </c:pt>
                <c:pt idx="79">
                  <c:v>0.69543382265186793</c:v>
                </c:pt>
                <c:pt idx="80">
                  <c:v>0.70423678243227128</c:v>
                </c:pt>
                <c:pt idx="81">
                  <c:v>0.71303974221267463</c:v>
                </c:pt>
                <c:pt idx="82">
                  <c:v>0.72184270199307787</c:v>
                </c:pt>
                <c:pt idx="83">
                  <c:v>0.73064566177348134</c:v>
                </c:pt>
                <c:pt idx="84">
                  <c:v>0.73944862155388469</c:v>
                </c:pt>
                <c:pt idx="85">
                  <c:v>0.74825158133428815</c:v>
                </c:pt>
                <c:pt idx="86">
                  <c:v>0.7570545411146915</c:v>
                </c:pt>
                <c:pt idx="87">
                  <c:v>0.76585750089509486</c:v>
                </c:pt>
                <c:pt idx="88">
                  <c:v>0.77466046067549832</c:v>
                </c:pt>
                <c:pt idx="89">
                  <c:v>0.78346342045590167</c:v>
                </c:pt>
                <c:pt idx="90">
                  <c:v>0.79226638023630513</c:v>
                </c:pt>
                <c:pt idx="91">
                  <c:v>0.80106934001670849</c:v>
                </c:pt>
                <c:pt idx="92">
                  <c:v>0.80987229979711184</c:v>
                </c:pt>
                <c:pt idx="93">
                  <c:v>0.8186752595775153</c:v>
                </c:pt>
                <c:pt idx="94">
                  <c:v>0.82747821935791865</c:v>
                </c:pt>
                <c:pt idx="95">
                  <c:v>0.83628117913832212</c:v>
                </c:pt>
                <c:pt idx="96">
                  <c:v>0.84508413891872547</c:v>
                </c:pt>
                <c:pt idx="97">
                  <c:v>0.85388709869912882</c:v>
                </c:pt>
                <c:pt idx="98">
                  <c:v>0.86269005847953228</c:v>
                </c:pt>
                <c:pt idx="99">
                  <c:v>0.87149301825993564</c:v>
                </c:pt>
                <c:pt idx="100">
                  <c:v>0.8802959780403391</c:v>
                </c:pt>
              </c:numCache>
            </c:numRef>
          </c:val>
          <c:smooth val="0"/>
          <c:extLst>
            <c:ext xmlns:c16="http://schemas.microsoft.com/office/drawing/2014/chart" uri="{C3380CC4-5D6E-409C-BE32-E72D297353CC}">
              <c16:uniqueId val="{00000000-5C79-42D2-A335-7EB6C86482C0}"/>
            </c:ext>
          </c:extLst>
        </c:ser>
        <c:ser>
          <c:idx val="0"/>
          <c:order val="1"/>
          <c:tx>
            <c:v>VIN-nom</c:v>
          </c:tx>
          <c:spPr>
            <a:ln w="28575">
              <a:solidFill>
                <a:srgbClr val="0000FF"/>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Single'!$AJ$5:$AJ$105</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0.28999999999999998</c:v>
                </c:pt>
                <c:pt idx="19">
                  <c:v>0.28999999999999998</c:v>
                </c:pt>
                <c:pt idx="20">
                  <c:v>0.28999999999999998</c:v>
                </c:pt>
                <c:pt idx="21">
                  <c:v>0.28999999999999998</c:v>
                </c:pt>
                <c:pt idx="22">
                  <c:v>0.28999999999999998</c:v>
                </c:pt>
                <c:pt idx="23">
                  <c:v>0.28999999999999998</c:v>
                </c:pt>
                <c:pt idx="24">
                  <c:v>0.29019050004400471</c:v>
                </c:pt>
                <c:pt idx="25">
                  <c:v>0.2961744388795462</c:v>
                </c:pt>
                <c:pt idx="26">
                  <c:v>0.30203984865483996</c:v>
                </c:pt>
                <c:pt idx="27">
                  <c:v>0.30779350562554625</c:v>
                </c:pt>
                <c:pt idx="28">
                  <c:v>0.31344156398775153</c:v>
                </c:pt>
                <c:pt idx="29">
                  <c:v>0.31898963300538824</c:v>
                </c:pt>
                <c:pt idx="30">
                  <c:v>0.32444284226152509</c:v>
                </c:pt>
                <c:pt idx="31">
                  <c:v>0.32980589719494313</c:v>
                </c:pt>
                <c:pt idx="32">
                  <c:v>0.33508312663335643</c:v>
                </c:pt>
                <c:pt idx="33">
                  <c:v>0.34027852368936035</c:v>
                </c:pt>
                <c:pt idx="34">
                  <c:v>0.34539578111788671</c:v>
                </c:pt>
                <c:pt idx="35">
                  <c:v>0.35043832202523117</c:v>
                </c:pt>
                <c:pt idx="36">
                  <c:v>0.35540932665545544</c:v>
                </c:pt>
                <c:pt idx="37">
                  <c:v>0.36031175584972075</c:v>
                </c:pt>
                <c:pt idx="38">
                  <c:v>0.36514837167011077</c:v>
                </c:pt>
                <c:pt idx="39">
                  <c:v>0.36992175559590695</c:v>
                </c:pt>
                <c:pt idx="40">
                  <c:v>0.37463432463267765</c:v>
                </c:pt>
                <c:pt idx="41">
                  <c:v>0.37928834561953922</c:v>
                </c:pt>
                <c:pt idx="42">
                  <c:v>0.38388594797495729</c:v>
                </c:pt>
                <c:pt idx="43">
                  <c:v>0.38842913508445293</c:v>
                </c:pt>
                <c:pt idx="44">
                  <c:v>0.39291979450300124</c:v>
                </c:pt>
                <c:pt idx="45">
                  <c:v>0.39735970711951318</c:v>
                </c:pt>
                <c:pt idx="46">
                  <c:v>0.40175055540960969</c:v>
                </c:pt>
                <c:pt idx="47">
                  <c:v>0.40609393088515172</c:v>
                </c:pt>
                <c:pt idx="48">
                  <c:v>0.41039134083406165</c:v>
                </c:pt>
                <c:pt idx="49">
                  <c:v>0.41464421443136468</c:v>
                </c:pt>
                <c:pt idx="50">
                  <c:v>0.41885390829169555</c:v>
                </c:pt>
                <c:pt idx="51">
                  <c:v>0.42302171152442358</c:v>
                </c:pt>
                <c:pt idx="52">
                  <c:v>0.43342642320085945</c:v>
                </c:pt>
                <c:pt idx="53">
                  <c:v>0.4417615467239529</c:v>
                </c:pt>
                <c:pt idx="54">
                  <c:v>0.45009667024704636</c:v>
                </c:pt>
                <c:pt idx="55">
                  <c:v>0.45843179377013982</c:v>
                </c:pt>
                <c:pt idx="56">
                  <c:v>0.46676691729323327</c:v>
                </c:pt>
                <c:pt idx="57">
                  <c:v>0.47510204081632657</c:v>
                </c:pt>
                <c:pt idx="58">
                  <c:v>0.48343716433942002</c:v>
                </c:pt>
                <c:pt idx="59">
                  <c:v>0.49177228786251348</c:v>
                </c:pt>
                <c:pt idx="60">
                  <c:v>0.50010741138560688</c:v>
                </c:pt>
                <c:pt idx="61">
                  <c:v>0.50844253490870039</c:v>
                </c:pt>
                <c:pt idx="62">
                  <c:v>0.5167776584317938</c:v>
                </c:pt>
                <c:pt idx="63">
                  <c:v>0.52511278195488731</c:v>
                </c:pt>
                <c:pt idx="64">
                  <c:v>0.53344790547798071</c:v>
                </c:pt>
                <c:pt idx="65">
                  <c:v>0.54178302900107422</c:v>
                </c:pt>
                <c:pt idx="66">
                  <c:v>0.55011815252416763</c:v>
                </c:pt>
                <c:pt idx="67">
                  <c:v>0.55845327604726114</c:v>
                </c:pt>
                <c:pt idx="68">
                  <c:v>0.56678839957035454</c:v>
                </c:pt>
                <c:pt idx="69">
                  <c:v>0.57512352309344794</c:v>
                </c:pt>
                <c:pt idx="70">
                  <c:v>0.58345864661654134</c:v>
                </c:pt>
                <c:pt idx="71">
                  <c:v>0.59179377013963486</c:v>
                </c:pt>
                <c:pt idx="72">
                  <c:v>0.60012889366272826</c:v>
                </c:pt>
                <c:pt idx="73">
                  <c:v>0.60846401718582177</c:v>
                </c:pt>
                <c:pt idx="74">
                  <c:v>0.61679914070891517</c:v>
                </c:pt>
                <c:pt idx="75">
                  <c:v>0.6251342642320088</c:v>
                </c:pt>
                <c:pt idx="76">
                  <c:v>0.6334693877551022</c:v>
                </c:pt>
                <c:pt idx="77">
                  <c:v>0.64180451127819571</c:v>
                </c:pt>
                <c:pt idx="78">
                  <c:v>0.65013963480128911</c:v>
                </c:pt>
                <c:pt idx="79">
                  <c:v>0.65847475832438263</c:v>
                </c:pt>
                <c:pt idx="80">
                  <c:v>0.66680988184747603</c:v>
                </c:pt>
                <c:pt idx="81">
                  <c:v>0.67514500537056954</c:v>
                </c:pt>
                <c:pt idx="82">
                  <c:v>0.68348012889366283</c:v>
                </c:pt>
                <c:pt idx="83">
                  <c:v>0.69181525241675623</c:v>
                </c:pt>
                <c:pt idx="84">
                  <c:v>0.70015037593984975</c:v>
                </c:pt>
                <c:pt idx="85">
                  <c:v>0.70848549946294315</c:v>
                </c:pt>
                <c:pt idx="86">
                  <c:v>0.71682062298603666</c:v>
                </c:pt>
                <c:pt idx="87">
                  <c:v>0.72515574650913006</c:v>
                </c:pt>
                <c:pt idx="88">
                  <c:v>0.73349087003222357</c:v>
                </c:pt>
                <c:pt idx="89">
                  <c:v>0.74182599355531698</c:v>
                </c:pt>
                <c:pt idx="90">
                  <c:v>0.75016111707841049</c:v>
                </c:pt>
                <c:pt idx="91">
                  <c:v>0.75849624060150389</c:v>
                </c:pt>
                <c:pt idx="92">
                  <c:v>0.7668313641245974</c:v>
                </c:pt>
                <c:pt idx="93">
                  <c:v>0.77516648764769081</c:v>
                </c:pt>
                <c:pt idx="94">
                  <c:v>0.78350161117078432</c:v>
                </c:pt>
                <c:pt idx="95">
                  <c:v>0.79183673469387772</c:v>
                </c:pt>
                <c:pt idx="96">
                  <c:v>0.80017185821697123</c:v>
                </c:pt>
                <c:pt idx="97">
                  <c:v>0.80850698174006463</c:v>
                </c:pt>
                <c:pt idx="98">
                  <c:v>0.81684210526315815</c:v>
                </c:pt>
                <c:pt idx="99">
                  <c:v>0.82517722878625155</c:v>
                </c:pt>
                <c:pt idx="100">
                  <c:v>0.83351235230934506</c:v>
                </c:pt>
              </c:numCache>
            </c:numRef>
          </c:val>
          <c:smooth val="0"/>
          <c:extLst>
            <c:ext xmlns:c16="http://schemas.microsoft.com/office/drawing/2014/chart" uri="{C3380CC4-5D6E-409C-BE32-E72D297353CC}">
              <c16:uniqueId val="{00000001-5C79-42D2-A335-7EB6C86482C0}"/>
            </c:ext>
          </c:extLst>
        </c:ser>
        <c:ser>
          <c:idx val="2"/>
          <c:order val="2"/>
          <c:tx>
            <c:v>VIN-max</c:v>
          </c:tx>
          <c:spPr>
            <a:ln>
              <a:solidFill>
                <a:srgbClr val="FF0000"/>
              </a:solidFill>
              <a:prstDash val="solid"/>
            </a:ln>
          </c:spPr>
          <c:marker>
            <c:symbol val="none"/>
          </c:marker>
          <c:val>
            <c:numRef>
              <c:f>'Calculations - Single'!$AJ$216:$AJ$316</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0.28999999999999998</c:v>
                </c:pt>
                <c:pt idx="19">
                  <c:v>0.28999999999999998</c:v>
                </c:pt>
                <c:pt idx="20">
                  <c:v>0.28999999999999998</c:v>
                </c:pt>
                <c:pt idx="21">
                  <c:v>0.28999999999999998</c:v>
                </c:pt>
                <c:pt idx="22">
                  <c:v>0.28999999999999998</c:v>
                </c:pt>
                <c:pt idx="23">
                  <c:v>0.28999999999999998</c:v>
                </c:pt>
                <c:pt idx="24">
                  <c:v>0.28999999999999998</c:v>
                </c:pt>
                <c:pt idx="25">
                  <c:v>0.28999999999999998</c:v>
                </c:pt>
                <c:pt idx="26">
                  <c:v>0.29439202887759491</c:v>
                </c:pt>
                <c:pt idx="27">
                  <c:v>0.30000000000000004</c:v>
                </c:pt>
                <c:pt idx="28">
                  <c:v>0.30550504633038938</c:v>
                </c:pt>
                <c:pt idx="29">
                  <c:v>0.31091263510296052</c:v>
                </c:pt>
                <c:pt idx="30">
                  <c:v>0.31622776601683794</c:v>
                </c:pt>
                <c:pt idx="31">
                  <c:v>0.32145502536643183</c:v>
                </c:pt>
                <c:pt idx="32">
                  <c:v>0.32659863237109044</c:v>
                </c:pt>
                <c:pt idx="33">
                  <c:v>0.33166247903554003</c:v>
                </c:pt>
                <c:pt idx="34">
                  <c:v>0.33665016461206926</c:v>
                </c:pt>
                <c:pt idx="35">
                  <c:v>0.34156502553198659</c:v>
                </c:pt>
                <c:pt idx="36">
                  <c:v>0.34641016151377546</c:v>
                </c:pt>
                <c:pt idx="37">
                  <c:v>0.35118845842842461</c:v>
                </c:pt>
                <c:pt idx="38">
                  <c:v>0.35590260840104376</c:v>
                </c:pt>
                <c:pt idx="39">
                  <c:v>0.36055512754639896</c:v>
                </c:pt>
                <c:pt idx="40">
                  <c:v>0.36514837167011077</c:v>
                </c:pt>
                <c:pt idx="41">
                  <c:v>0.36968455021364727</c:v>
                </c:pt>
                <c:pt idx="42">
                  <c:v>0.37416573867739417</c:v>
                </c:pt>
                <c:pt idx="43">
                  <c:v>0.37859388972001823</c:v>
                </c:pt>
                <c:pt idx="44">
                  <c:v>0.38297084310253526</c:v>
                </c:pt>
                <c:pt idx="45">
                  <c:v>0.3872983346207417</c:v>
                </c:pt>
                <c:pt idx="46">
                  <c:v>0.39157800414902438</c:v>
                </c:pt>
                <c:pt idx="47">
                  <c:v>0.39581140290126393</c:v>
                </c:pt>
                <c:pt idx="48">
                  <c:v>0.4</c:v>
                </c:pt>
                <c:pt idx="49">
                  <c:v>0.40414518843273806</c:v>
                </c:pt>
                <c:pt idx="50">
                  <c:v>0.40824829046386302</c:v>
                </c:pt>
                <c:pt idx="51">
                  <c:v>0.41231056256176607</c:v>
                </c:pt>
                <c:pt idx="52">
                  <c:v>0.41633319989322659</c:v>
                </c:pt>
                <c:pt idx="53">
                  <c:v>0.42031734043061642</c:v>
                </c:pt>
                <c:pt idx="54">
                  <c:v>0.42426406871192857</c:v>
                </c:pt>
                <c:pt idx="55">
                  <c:v>0.4281744192888377</c:v>
                </c:pt>
                <c:pt idx="56">
                  <c:v>0.43204937989385739</c:v>
                </c:pt>
                <c:pt idx="57">
                  <c:v>0.45328385899814466</c:v>
                </c:pt>
                <c:pt idx="58">
                  <c:v>0.46123620740162091</c:v>
                </c:pt>
                <c:pt idx="59">
                  <c:v>0.46918855580509716</c:v>
                </c:pt>
                <c:pt idx="60">
                  <c:v>0.47714090420857336</c:v>
                </c:pt>
                <c:pt idx="61">
                  <c:v>0.48509325261204961</c:v>
                </c:pt>
                <c:pt idx="62">
                  <c:v>0.49304560101552586</c:v>
                </c:pt>
                <c:pt idx="63">
                  <c:v>0.50099794941900211</c:v>
                </c:pt>
                <c:pt idx="64">
                  <c:v>0.50895029782247825</c:v>
                </c:pt>
                <c:pt idx="65">
                  <c:v>0.5169026462259545</c:v>
                </c:pt>
                <c:pt idx="66">
                  <c:v>0.52485499462943075</c:v>
                </c:pt>
                <c:pt idx="67">
                  <c:v>0.532807343032907</c:v>
                </c:pt>
                <c:pt idx="68">
                  <c:v>0.54075969143638325</c:v>
                </c:pt>
                <c:pt idx="69">
                  <c:v>0.54871203983985928</c:v>
                </c:pt>
                <c:pt idx="70">
                  <c:v>0.55666438824333553</c:v>
                </c:pt>
                <c:pt idx="71">
                  <c:v>0.56461673664681178</c:v>
                </c:pt>
                <c:pt idx="72">
                  <c:v>0.57256908505028803</c:v>
                </c:pt>
                <c:pt idx="73">
                  <c:v>0.58052143345376417</c:v>
                </c:pt>
                <c:pt idx="74">
                  <c:v>0.58847378185724042</c:v>
                </c:pt>
                <c:pt idx="75">
                  <c:v>0.59642613026071678</c:v>
                </c:pt>
                <c:pt idx="76">
                  <c:v>0.60437847866419303</c:v>
                </c:pt>
                <c:pt idx="77">
                  <c:v>0.61233082706766928</c:v>
                </c:pt>
                <c:pt idx="78">
                  <c:v>0.62028317547114553</c:v>
                </c:pt>
                <c:pt idx="79">
                  <c:v>0.62823552387462178</c:v>
                </c:pt>
                <c:pt idx="80">
                  <c:v>0.63618787227809803</c:v>
                </c:pt>
                <c:pt idx="81">
                  <c:v>0.64414022068157417</c:v>
                </c:pt>
                <c:pt idx="82">
                  <c:v>0.65209256908505031</c:v>
                </c:pt>
                <c:pt idx="83">
                  <c:v>0.66004491748852656</c:v>
                </c:pt>
                <c:pt idx="84">
                  <c:v>0.6679972658920027</c:v>
                </c:pt>
                <c:pt idx="85">
                  <c:v>0.67594961429547895</c:v>
                </c:pt>
                <c:pt idx="86">
                  <c:v>0.6839019626989552</c:v>
                </c:pt>
                <c:pt idx="87">
                  <c:v>0.69185431110243145</c:v>
                </c:pt>
                <c:pt idx="88">
                  <c:v>0.6998066595059077</c:v>
                </c:pt>
                <c:pt idx="89">
                  <c:v>0.70775900790938395</c:v>
                </c:pt>
                <c:pt idx="90">
                  <c:v>0.71571135631286009</c:v>
                </c:pt>
                <c:pt idx="91">
                  <c:v>0.72366370471633634</c:v>
                </c:pt>
                <c:pt idx="92">
                  <c:v>0.73161605311981259</c:v>
                </c:pt>
                <c:pt idx="93">
                  <c:v>0.73956840152328884</c:v>
                </c:pt>
                <c:pt idx="94">
                  <c:v>0.74752074992676509</c:v>
                </c:pt>
                <c:pt idx="95">
                  <c:v>0.75547309833024134</c:v>
                </c:pt>
                <c:pt idx="96">
                  <c:v>0.76342544673371748</c:v>
                </c:pt>
                <c:pt idx="97">
                  <c:v>0.77137779513719373</c:v>
                </c:pt>
                <c:pt idx="98">
                  <c:v>0.77933014354066998</c:v>
                </c:pt>
                <c:pt idx="99">
                  <c:v>0.78728249194414623</c:v>
                </c:pt>
                <c:pt idx="100">
                  <c:v>0.79523484034762248</c:v>
                </c:pt>
              </c:numCache>
            </c:numRef>
          </c:val>
          <c:smooth val="0"/>
          <c:extLst>
            <c:ext xmlns:c16="http://schemas.microsoft.com/office/drawing/2014/chart" uri="{C3380CC4-5D6E-409C-BE32-E72D297353CC}">
              <c16:uniqueId val="{00000002-5C79-42D2-A335-7EB6C86482C0}"/>
            </c:ext>
          </c:extLst>
        </c:ser>
        <c:dLbls>
          <c:showLegendKey val="0"/>
          <c:showVal val="0"/>
          <c:showCatName val="0"/>
          <c:showSerName val="0"/>
          <c:showPercent val="0"/>
          <c:showBubbleSize val="0"/>
        </c:dLbls>
        <c:smooth val="0"/>
        <c:axId val="96627712"/>
        <c:axId val="98174080"/>
      </c:lineChart>
      <c:catAx>
        <c:axId val="96627712"/>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98174080"/>
        <c:crosses val="autoZero"/>
        <c:auto val="1"/>
        <c:lblAlgn val="ctr"/>
        <c:lblOffset val="100"/>
        <c:tickLblSkip val="20"/>
        <c:tickMarkSkip val="10"/>
        <c:noMultiLvlLbl val="0"/>
      </c:catAx>
      <c:valAx>
        <c:axId val="98174080"/>
        <c:scaling>
          <c:orientation val="minMax"/>
          <c:max val="1.4"/>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Peak</a:t>
                </a:r>
                <a:r>
                  <a:rPr lang="en-US" sz="1200" b="1" baseline="0">
                    <a:solidFill>
                      <a:schemeClr val="tx1"/>
                    </a:solidFill>
                    <a:latin typeface="Arial" pitchFamily="34" charset="0"/>
                    <a:cs typeface="Arial" pitchFamily="34" charset="0"/>
                  </a:rPr>
                  <a:t> Primary Current (A)</a:t>
                </a:r>
                <a:endParaRPr lang="en-US" sz="1200" b="1">
                  <a:solidFill>
                    <a:schemeClr val="tx1"/>
                  </a:solidFill>
                  <a:latin typeface="Arial" pitchFamily="34" charset="0"/>
                  <a:cs typeface="Arial" pitchFamily="34" charset="0"/>
                </a:endParaRPr>
              </a:p>
            </c:rich>
          </c:tx>
          <c:layout>
            <c:manualLayout>
              <c:xMode val="edge"/>
              <c:yMode val="edge"/>
              <c:x val="1.8892754684734177E-2"/>
              <c:y val="0.30303578260037478"/>
            </c:manualLayout>
          </c:layout>
          <c:overlay val="0"/>
          <c:spPr>
            <a:noFill/>
            <a:ln w="25400">
              <a:noFill/>
            </a:ln>
          </c:spPr>
        </c:title>
        <c:numFmt formatCode="#,##0.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96627712"/>
        <c:crossesAt val="0"/>
        <c:crossBetween val="between"/>
      </c:valAx>
      <c:spPr>
        <a:solidFill>
          <a:srgbClr val="FFFFFF"/>
        </a:solidFill>
        <a:ln w="25400">
          <a:noFill/>
        </a:ln>
      </c:spPr>
    </c:plotArea>
    <c:legend>
      <c:legendPos val="t"/>
      <c:layout>
        <c:manualLayout>
          <c:xMode val="edge"/>
          <c:yMode val="edge"/>
          <c:x val="0.50279342989103104"/>
          <c:y val="1.6951025877806759E-2"/>
          <c:w val="0.44417947756530435"/>
          <c:h val="8.979504932061760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Single'!$AN$110:$AN$210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344.98355456637233</c:v>
                </c:pt>
                <c:pt idx="46">
                  <c:v>337.48391207579903</c:v>
                </c:pt>
                <c:pt idx="47">
                  <c:v>330.30340330822884</c:v>
                </c:pt>
                <c:pt idx="48">
                  <c:v>323.42208240597404</c:v>
                </c:pt>
                <c:pt idx="49">
                  <c:v>316.82163174462755</c:v>
                </c:pt>
                <c:pt idx="50">
                  <c:v>310.48519910973499</c:v>
                </c:pt>
                <c:pt idx="51">
                  <c:v>304.39725402915195</c:v>
                </c:pt>
                <c:pt idx="52">
                  <c:v>298.54346068243757</c:v>
                </c:pt>
                <c:pt idx="53">
                  <c:v>292.91056519786321</c:v>
                </c:pt>
                <c:pt idx="54">
                  <c:v>287.48629547197686</c:v>
                </c:pt>
                <c:pt idx="55">
                  <c:v>282.25927191794085</c:v>
                </c:pt>
                <c:pt idx="56">
                  <c:v>277.21892777654909</c:v>
                </c:pt>
                <c:pt idx="57">
                  <c:v>272.35543781555708</c:v>
                </c:pt>
                <c:pt idx="58">
                  <c:v>267.65965440494404</c:v>
                </c:pt>
                <c:pt idx="59">
                  <c:v>263.12305009299592</c:v>
                </c:pt>
                <c:pt idx="60">
                  <c:v>258.73766592477926</c:v>
                </c:pt>
                <c:pt idx="61">
                  <c:v>254.49606484404518</c:v>
                </c:pt>
                <c:pt idx="62">
                  <c:v>250.39128960462503</c:v>
                </c:pt>
                <c:pt idx="63">
                  <c:v>246.41682469026591</c:v>
                </c:pt>
                <c:pt idx="64">
                  <c:v>242.56656180448053</c:v>
                </c:pt>
                <c:pt idx="65">
                  <c:v>238.83476854595006</c:v>
                </c:pt>
                <c:pt idx="66">
                  <c:v>235.21605993161748</c:v>
                </c:pt>
                <c:pt idx="67">
                  <c:v>231.70537246995156</c:v>
                </c:pt>
                <c:pt idx="68">
                  <c:v>228.29794052186401</c:v>
                </c:pt>
                <c:pt idx="69">
                  <c:v>224.98927471719941</c:v>
                </c:pt>
                <c:pt idx="70">
                  <c:v>221.77514222123941</c:v>
                </c:pt>
                <c:pt idx="71">
                  <c:v>218.65154866882756</c:v>
                </c:pt>
                <c:pt idx="72">
                  <c:v>215.61472160398273</c:v>
                </c:pt>
                <c:pt idx="73">
                  <c:v>212.66109528064044</c:v>
                </c:pt>
                <c:pt idx="74">
                  <c:v>209.78729669576697</c:v>
                </c:pt>
                <c:pt idx="75">
                  <c:v>206.99013273982331</c:v>
                </c:pt>
                <c:pt idx="76">
                  <c:v>204.2665783616678</c:v>
                </c:pt>
                <c:pt idx="77">
                  <c:v>201.61376565567213</c:v>
                </c:pt>
                <c:pt idx="78">
                  <c:v>199.02897378829169</c:v>
                </c:pt>
                <c:pt idx="79">
                  <c:v>196.50961968970566</c:v>
                </c:pt>
                <c:pt idx="80">
                  <c:v>194.05324944358438</c:v>
                </c:pt>
                <c:pt idx="81">
                  <c:v>191.65753031465127</c:v>
                </c:pt>
                <c:pt idx="82">
                  <c:v>189.32024335959454</c:v>
                </c:pt>
                <c:pt idx="83">
                  <c:v>187.03927657212958</c:v>
                </c:pt>
                <c:pt idx="84">
                  <c:v>184.81261851769949</c:v>
                </c:pt>
                <c:pt idx="85">
                  <c:v>182.63835241749118</c:v>
                </c:pt>
                <c:pt idx="86">
                  <c:v>180.51465064519479</c:v>
                </c:pt>
                <c:pt idx="87">
                  <c:v>178.43976960329601</c:v>
                </c:pt>
                <c:pt idx="88">
                  <c:v>176.41204494871309</c:v>
                </c:pt>
                <c:pt idx="89">
                  <c:v>174.42988714030062</c:v>
                </c:pt>
                <c:pt idx="90">
                  <c:v>172.49177728318617</c:v>
                </c:pt>
                <c:pt idx="91">
                  <c:v>170.5962632471072</c:v>
                </c:pt>
                <c:pt idx="92">
                  <c:v>168.74195603789951</c:v>
                </c:pt>
                <c:pt idx="93">
                  <c:v>166.92752640308336</c:v>
                </c:pt>
                <c:pt idx="94">
                  <c:v>165.15170165411442</c:v>
                </c:pt>
                <c:pt idx="95">
                  <c:v>163.41326268933423</c:v>
                </c:pt>
                <c:pt idx="96">
                  <c:v>161.71104120298702</c:v>
                </c:pt>
                <c:pt idx="97">
                  <c:v>160.04391706687377</c:v>
                </c:pt>
                <c:pt idx="98">
                  <c:v>158.41081587231378</c:v>
                </c:pt>
                <c:pt idx="99">
                  <c:v>156.81070662107828</c:v>
                </c:pt>
                <c:pt idx="100">
                  <c:v>155.2425995548675</c:v>
                </c:pt>
              </c:numCache>
            </c:numRef>
          </c:val>
          <c:smooth val="0"/>
          <c:extLst>
            <c:ext xmlns:c16="http://schemas.microsoft.com/office/drawing/2014/chart" uri="{C3380CC4-5D6E-409C-BE32-E72D297353CC}">
              <c16:uniqueId val="{00000000-25A5-4478-BE08-B12651972440}"/>
            </c:ext>
          </c:extLst>
        </c:ser>
        <c:ser>
          <c:idx val="0"/>
          <c:order val="1"/>
          <c:tx>
            <c:v>VIN-nom</c:v>
          </c:tx>
          <c:spPr>
            <a:ln w="28575">
              <a:solidFill>
                <a:srgbClr val="FF0000"/>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Single'!$AN$5:$AN$105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346.31735572324357</c:v>
                </c:pt>
                <c:pt idx="51">
                  <c:v>339.52681933651337</c:v>
                </c:pt>
                <c:pt idx="52">
                  <c:v>332.99745742619575</c:v>
                </c:pt>
                <c:pt idx="53">
                  <c:v>326.7144865313619</c:v>
                </c:pt>
                <c:pt idx="54">
                  <c:v>320.66421826226252</c:v>
                </c:pt>
                <c:pt idx="55">
                  <c:v>314.83395974840323</c:v>
                </c:pt>
                <c:pt idx="56">
                  <c:v>309.21192475289604</c:v>
                </c:pt>
                <c:pt idx="57">
                  <c:v>303.78715414319618</c:v>
                </c:pt>
                <c:pt idx="58">
                  <c:v>298.5494445890032</c:v>
                </c:pt>
                <c:pt idx="59">
                  <c:v>293.48928451122345</c:v>
                </c:pt>
                <c:pt idx="60">
                  <c:v>288.59779643603639</c:v>
                </c:pt>
                <c:pt idx="61">
                  <c:v>283.86668501905223</c:v>
                </c:pt>
                <c:pt idx="62">
                  <c:v>279.28819009939002</c:v>
                </c:pt>
                <c:pt idx="63">
                  <c:v>274.85504422479659</c:v>
                </c:pt>
                <c:pt idx="64">
                  <c:v>270.56043415878412</c:v>
                </c:pt>
                <c:pt idx="65">
                  <c:v>266.39796594095662</c:v>
                </c:pt>
                <c:pt idx="66">
                  <c:v>262.36163312366949</c:v>
                </c:pt>
                <c:pt idx="67">
                  <c:v>258.44578785316691</c:v>
                </c:pt>
                <c:pt idx="68">
                  <c:v>254.64511450238504</c:v>
                </c:pt>
                <c:pt idx="69">
                  <c:v>250.95460559655336</c:v>
                </c:pt>
                <c:pt idx="70">
                  <c:v>247.36953980231692</c:v>
                </c:pt>
                <c:pt idx="71">
                  <c:v>243.88546177693215</c:v>
                </c:pt>
                <c:pt idx="72">
                  <c:v>240.49816369669702</c:v>
                </c:pt>
                <c:pt idx="73">
                  <c:v>237.20366830359154</c:v>
                </c:pt>
                <c:pt idx="74">
                  <c:v>233.99821332651601</c:v>
                </c:pt>
                <c:pt idx="75">
                  <c:v>230.87823714882904</c:v>
                </c:pt>
                <c:pt idx="76">
                  <c:v>227.84036560739713</c:v>
                </c:pt>
                <c:pt idx="77">
                  <c:v>224.88139982028804</c:v>
                </c:pt>
                <c:pt idx="78">
                  <c:v>221.99830495079718</c:v>
                </c:pt>
                <c:pt idx="79">
                  <c:v>219.18819982483777</c:v>
                </c:pt>
                <c:pt idx="80">
                  <c:v>216.44834732702722</c:v>
                </c:pt>
                <c:pt idx="81">
                  <c:v>213.77614550817506</c:v>
                </c:pt>
                <c:pt idx="82">
                  <c:v>211.16911934344128</c:v>
                </c:pt>
                <c:pt idx="83">
                  <c:v>208.62491308629137</c:v>
                </c:pt>
                <c:pt idx="84">
                  <c:v>206.14128316859745</c:v>
                </c:pt>
                <c:pt idx="85">
                  <c:v>203.716091601908</c:v>
                </c:pt>
                <c:pt idx="86">
                  <c:v>201.34729983909514</c:v>
                </c:pt>
                <c:pt idx="87">
                  <c:v>199.03296305933543</c:v>
                </c:pt>
                <c:pt idx="88">
                  <c:v>196.77122484275205</c:v>
                </c:pt>
                <c:pt idx="89">
                  <c:v>194.56031220406948</c:v>
                </c:pt>
                <c:pt idx="90">
                  <c:v>192.39853095735756</c:v>
                </c:pt>
                <c:pt idx="91">
                  <c:v>190.28426138639759</c:v>
                </c:pt>
                <c:pt idx="92">
                  <c:v>188.21595419741502</c:v>
                </c:pt>
                <c:pt idx="93">
                  <c:v>186.19212673292668</c:v>
                </c:pt>
                <c:pt idx="94">
                  <c:v>184.21135942725724</c:v>
                </c:pt>
                <c:pt idx="95">
                  <c:v>182.27229248591769</c:v>
                </c:pt>
                <c:pt idx="96">
                  <c:v>180.37362277252276</c:v>
                </c:pt>
                <c:pt idx="97">
                  <c:v>178.51410088826992</c:v>
                </c:pt>
                <c:pt idx="98">
                  <c:v>176.6925284302263</c:v>
                </c:pt>
                <c:pt idx="99">
                  <c:v>174.9077554157796</c:v>
                </c:pt>
                <c:pt idx="100">
                  <c:v>173.15867786162178</c:v>
                </c:pt>
              </c:numCache>
            </c:numRef>
          </c:val>
          <c:smooth val="0"/>
          <c:extLst>
            <c:ext xmlns:c16="http://schemas.microsoft.com/office/drawing/2014/chart" uri="{C3380CC4-5D6E-409C-BE32-E72D297353CC}">
              <c16:uniqueId val="{00000001-25A5-4478-BE08-B12651972440}"/>
            </c:ext>
          </c:extLst>
        </c:ser>
        <c:ser>
          <c:idx val="2"/>
          <c:order val="2"/>
          <c:tx>
            <c:v>VIN-max</c:v>
          </c:tx>
          <c:spPr>
            <a:ln>
              <a:solidFill>
                <a:srgbClr val="0000FF"/>
              </a:solidFill>
              <a:prstDash val="solid"/>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Single'!$AN$216:$AN$316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350</c:v>
                </c:pt>
                <c:pt idx="51">
                  <c:v>350</c:v>
                </c:pt>
                <c:pt idx="52">
                  <c:v>350</c:v>
                </c:pt>
                <c:pt idx="53">
                  <c:v>350</c:v>
                </c:pt>
                <c:pt idx="54">
                  <c:v>350</c:v>
                </c:pt>
                <c:pt idx="55">
                  <c:v>345.87156140357638</c:v>
                </c:pt>
                <c:pt idx="56">
                  <c:v>339.69528352136973</c:v>
                </c:pt>
                <c:pt idx="57">
                  <c:v>333.73571714380188</c:v>
                </c:pt>
                <c:pt idx="58">
                  <c:v>327.98165305511566</c:v>
                </c:pt>
                <c:pt idx="59">
                  <c:v>322.42264198638486</c:v>
                </c:pt>
                <c:pt idx="60">
                  <c:v>317.04893128661183</c:v>
                </c:pt>
                <c:pt idx="61">
                  <c:v>311.85140782289687</c:v>
                </c:pt>
                <c:pt idx="62">
                  <c:v>306.82154640639845</c:v>
                </c:pt>
                <c:pt idx="63">
                  <c:v>301.95136313010647</c:v>
                </c:pt>
                <c:pt idx="64">
                  <c:v>297.23337308119858</c:v>
                </c:pt>
                <c:pt idx="65">
                  <c:v>292.66055195687238</c:v>
                </c:pt>
                <c:pt idx="66">
                  <c:v>288.22630116964706</c:v>
                </c:pt>
                <c:pt idx="67">
                  <c:v>283.9244160775628</c:v>
                </c:pt>
                <c:pt idx="68">
                  <c:v>279.74905701759855</c:v>
                </c:pt>
                <c:pt idx="69">
                  <c:v>275.69472285792335</c:v>
                </c:pt>
                <c:pt idx="70">
                  <c:v>271.75622681709581</c:v>
                </c:pt>
                <c:pt idx="71">
                  <c:v>267.92867432671426</c:v>
                </c:pt>
                <c:pt idx="72">
                  <c:v>264.20744273884316</c:v>
                </c:pt>
                <c:pt idx="73">
                  <c:v>260.58816270132485</c:v>
                </c:pt>
                <c:pt idx="74">
                  <c:v>257.0667010431988</c:v>
                </c:pt>
                <c:pt idx="75">
                  <c:v>253.63914502928941</c:v>
                </c:pt>
                <c:pt idx="76">
                  <c:v>250.30178785785139</c:v>
                </c:pt>
                <c:pt idx="77">
                  <c:v>247.0511152882689</c:v>
                </c:pt>
                <c:pt idx="78">
                  <c:v>243.88379329739362</c:v>
                </c:pt>
                <c:pt idx="79">
                  <c:v>240.79665667337602</c:v>
                </c:pt>
                <c:pt idx="80">
                  <c:v>237.78669846495876</c:v>
                </c:pt>
                <c:pt idx="81">
                  <c:v>234.85106021230499</c:v>
                </c:pt>
                <c:pt idx="82">
                  <c:v>231.98702289264281</c:v>
                </c:pt>
                <c:pt idx="83">
                  <c:v>229.19199852044227</c:v>
                </c:pt>
                <c:pt idx="84">
                  <c:v>226.46352234757987</c:v>
                </c:pt>
                <c:pt idx="85">
                  <c:v>223.7992456140789</c:v>
                </c:pt>
                <c:pt idx="86">
                  <c:v>221.1969288046129</c:v>
                </c:pt>
                <c:pt idx="87">
                  <c:v>218.65443537007707</c:v>
                </c:pt>
                <c:pt idx="88">
                  <c:v>216.16972587723529</c:v>
                </c:pt>
                <c:pt idx="89">
                  <c:v>213.74085255277197</c:v>
                </c:pt>
                <c:pt idx="90">
                  <c:v>211.36595419107454</c:v>
                </c:pt>
                <c:pt idx="91">
                  <c:v>209.043251397766</c:v>
                </c:pt>
                <c:pt idx="92">
                  <c:v>206.7710421434424</c:v>
                </c:pt>
                <c:pt idx="93">
                  <c:v>204.54769760426564</c:v>
                </c:pt>
                <c:pt idx="94">
                  <c:v>202.37165826805003</c:v>
                </c:pt>
                <c:pt idx="95">
                  <c:v>200.24143028628109</c:v>
                </c:pt>
                <c:pt idx="96">
                  <c:v>198.15558205413237</c:v>
                </c:pt>
                <c:pt idx="97">
                  <c:v>196.11274100202786</c:v>
                </c:pt>
                <c:pt idx="98">
                  <c:v>194.11159058363984</c:v>
                </c:pt>
                <c:pt idx="99">
                  <c:v>192.15086744643136</c:v>
                </c:pt>
                <c:pt idx="100">
                  <c:v>190.22935877196704</c:v>
                </c:pt>
              </c:numCache>
            </c:numRef>
          </c:val>
          <c:smooth val="0"/>
          <c:extLst>
            <c:ext xmlns:c16="http://schemas.microsoft.com/office/drawing/2014/chart" uri="{C3380CC4-5D6E-409C-BE32-E72D297353CC}">
              <c16:uniqueId val="{00000002-25A5-4478-BE08-B12651972440}"/>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25A5-4478-BE08-B12651972440}"/>
            </c:ext>
          </c:extLst>
        </c:ser>
        <c:ser>
          <c:idx val="4"/>
          <c:order val="4"/>
          <c:spPr>
            <a:ln>
              <a:noFill/>
            </a:ln>
          </c:spPr>
          <c:marker>
            <c:symbol val="x"/>
            <c:size val="10"/>
            <c:spPr>
              <a:pattFill prst="pct5">
                <a:fgClr>
                  <a:schemeClr val="tx1"/>
                </a:fgClr>
                <a:bgClr>
                  <a:schemeClr val="bg1"/>
                </a:bgClr>
              </a:pattFill>
              <a:ln>
                <a:solidFill>
                  <a:srgbClr val="FF0000"/>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4-25A5-4478-BE08-B12651972440}"/>
            </c:ext>
          </c:extLst>
        </c:ser>
        <c:ser>
          <c:idx val="5"/>
          <c:order val="5"/>
          <c:spPr>
            <a:ln>
              <a:noFill/>
            </a:ln>
          </c:spPr>
          <c:marker>
            <c:symbol val="x"/>
            <c:size val="10"/>
            <c:spPr>
              <a:pattFill prst="pct5">
                <a:fgClr>
                  <a:schemeClr val="tx1"/>
                </a:fgClr>
                <a:bgClr>
                  <a:schemeClr val="bg1"/>
                </a:bgClr>
              </a:pattFill>
              <a:ln>
                <a:solidFill>
                  <a:srgbClr val="0000FF"/>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5-25A5-4478-BE08-B12651972440}"/>
            </c:ext>
          </c:extLst>
        </c:ser>
        <c:dLbls>
          <c:showLegendKey val="0"/>
          <c:showVal val="0"/>
          <c:showCatName val="0"/>
          <c:showSerName val="0"/>
          <c:showPercent val="0"/>
          <c:showBubbleSize val="0"/>
        </c:dLbls>
        <c:smooth val="0"/>
        <c:axId val="143077760"/>
        <c:axId val="143080064"/>
      </c:lineChart>
      <c:catAx>
        <c:axId val="143077760"/>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43080064"/>
        <c:crosses val="autoZero"/>
        <c:auto val="1"/>
        <c:lblAlgn val="ctr"/>
        <c:lblOffset val="100"/>
        <c:tickLblSkip val="20"/>
        <c:tickMarkSkip val="10"/>
        <c:noMultiLvlLbl val="0"/>
      </c:catAx>
      <c:valAx>
        <c:axId val="143080064"/>
        <c:scaling>
          <c:orientation val="minMax"/>
          <c:max val="400"/>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Switching</a:t>
                </a:r>
                <a:r>
                  <a:rPr lang="en-US" sz="1200" b="1" baseline="0">
                    <a:solidFill>
                      <a:schemeClr val="tx1"/>
                    </a:solidFill>
                    <a:latin typeface="Arial" pitchFamily="34" charset="0"/>
                    <a:cs typeface="Arial" pitchFamily="34" charset="0"/>
                  </a:rPr>
                  <a:t> Frquency (kHz)</a:t>
                </a:r>
                <a:endParaRPr lang="en-US" sz="1200" b="1">
                  <a:solidFill>
                    <a:schemeClr val="tx1"/>
                  </a:solidFill>
                  <a:latin typeface="Arial" pitchFamily="34" charset="0"/>
                  <a:cs typeface="Arial" pitchFamily="34" charset="0"/>
                </a:endParaRPr>
              </a:p>
            </c:rich>
          </c:tx>
          <c:layout>
            <c:manualLayout>
              <c:xMode val="edge"/>
              <c:yMode val="edge"/>
              <c:x val="8.5568268367748525E-3"/>
              <c:y val="0.30050661099568304"/>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43077760"/>
        <c:crossesAt val="0"/>
        <c:crossBetween val="between"/>
        <c:majorUnit val="50"/>
        <c:minorUnit val="25"/>
      </c:valAx>
      <c:spPr>
        <a:solidFill>
          <a:srgbClr val="FFFFFF"/>
        </a:solidFill>
        <a:ln w="25400">
          <a:noFill/>
        </a:ln>
      </c:spPr>
    </c:plotArea>
    <c:legend>
      <c:legendPos val="t"/>
      <c:legendEntry>
        <c:idx val="3"/>
        <c:delete val="1"/>
      </c:legendEntry>
      <c:legendEntry>
        <c:idx val="4"/>
        <c:delete val="1"/>
      </c:legendEntry>
      <c:legendEntry>
        <c:idx val="5"/>
        <c:delete val="1"/>
      </c:legendEntry>
      <c:layout>
        <c:manualLayout>
          <c:xMode val="edge"/>
          <c:yMode val="edge"/>
          <c:x val="0.30119952469789996"/>
          <c:y val="2.20093690871901E-2"/>
          <c:w val="0.4533572736110989"/>
          <c:h val="5.433576684781775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Dual'!$AM$110:$AM$210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344.98355456637233</c:v>
                </c:pt>
                <c:pt idx="31">
                  <c:v>333.85505280616673</c:v>
                </c:pt>
                <c:pt idx="32">
                  <c:v>323.42208240597404</c:v>
                </c:pt>
                <c:pt idx="33">
                  <c:v>313.62141324215656</c:v>
                </c:pt>
                <c:pt idx="34">
                  <c:v>304.39725402915195</c:v>
                </c:pt>
                <c:pt idx="35">
                  <c:v>295.70018962831915</c:v>
                </c:pt>
                <c:pt idx="36">
                  <c:v>287.48629547197697</c:v>
                </c:pt>
                <c:pt idx="37">
                  <c:v>279.7163955943559</c:v>
                </c:pt>
                <c:pt idx="38">
                  <c:v>272.35543781555697</c:v>
                </c:pt>
                <c:pt idx="39">
                  <c:v>265.37196505105555</c:v>
                </c:pt>
                <c:pt idx="40">
                  <c:v>258.73766592477921</c:v>
                </c:pt>
                <c:pt idx="41">
                  <c:v>252.42699114612611</c:v>
                </c:pt>
                <c:pt idx="42">
                  <c:v>246.41682469026591</c:v>
                </c:pt>
                <c:pt idx="43">
                  <c:v>240.6862008602597</c:v>
                </c:pt>
                <c:pt idx="44">
                  <c:v>235.21605993161748</c:v>
                </c:pt>
                <c:pt idx="45">
                  <c:v>229.98903637758153</c:v>
                </c:pt>
                <c:pt idx="46">
                  <c:v>224.98927471719929</c:v>
                </c:pt>
                <c:pt idx="47">
                  <c:v>220.20226887215256</c:v>
                </c:pt>
                <c:pt idx="48">
                  <c:v>215.61472160398264</c:v>
                </c:pt>
                <c:pt idx="49">
                  <c:v>211.21442116308509</c:v>
                </c:pt>
                <c:pt idx="50">
                  <c:v>206.99013273982331</c:v>
                </c:pt>
                <c:pt idx="51">
                  <c:v>202.93150268610131</c:v>
                </c:pt>
                <c:pt idx="52">
                  <c:v>199.02897378829169</c:v>
                </c:pt>
                <c:pt idx="53">
                  <c:v>195.27371013190881</c:v>
                </c:pt>
                <c:pt idx="54">
                  <c:v>191.65753031465127</c:v>
                </c:pt>
                <c:pt idx="55">
                  <c:v>188.17284794529394</c:v>
                </c:pt>
                <c:pt idx="56">
                  <c:v>184.81261851769946</c:v>
                </c:pt>
                <c:pt idx="57">
                  <c:v>181.57029187703807</c:v>
                </c:pt>
                <c:pt idx="58">
                  <c:v>178.43976960329601</c:v>
                </c:pt>
                <c:pt idx="59">
                  <c:v>175.41536672866388</c:v>
                </c:pt>
                <c:pt idx="60">
                  <c:v>172.49177728318617</c:v>
                </c:pt>
                <c:pt idx="61">
                  <c:v>169.66404322936347</c:v>
                </c:pt>
                <c:pt idx="62">
                  <c:v>166.92752640308336</c:v>
                </c:pt>
                <c:pt idx="63">
                  <c:v>164.27788312684396</c:v>
                </c:pt>
                <c:pt idx="64">
                  <c:v>161.71104120298702</c:v>
                </c:pt>
                <c:pt idx="65">
                  <c:v>159.22317903063342</c:v>
                </c:pt>
                <c:pt idx="66">
                  <c:v>156.81070662107828</c:v>
                </c:pt>
                <c:pt idx="67">
                  <c:v>154.47024831330103</c:v>
                </c:pt>
                <c:pt idx="68">
                  <c:v>152.19862701457598</c:v>
                </c:pt>
                <c:pt idx="69">
                  <c:v>149.99284981146624</c:v>
                </c:pt>
                <c:pt idx="70">
                  <c:v>147.85009481415958</c:v>
                </c:pt>
                <c:pt idx="71">
                  <c:v>145.76769911255172</c:v>
                </c:pt>
                <c:pt idx="72">
                  <c:v>143.74314773598849</c:v>
                </c:pt>
                <c:pt idx="73">
                  <c:v>141.77406352042698</c:v>
                </c:pt>
                <c:pt idx="74">
                  <c:v>139.85819779717795</c:v>
                </c:pt>
                <c:pt idx="75">
                  <c:v>137.99342182654891</c:v>
                </c:pt>
                <c:pt idx="76">
                  <c:v>136.17771890777848</c:v>
                </c:pt>
                <c:pt idx="77">
                  <c:v>134.40917710378139</c:v>
                </c:pt>
                <c:pt idx="78">
                  <c:v>132.68598252552778</c:v>
                </c:pt>
                <c:pt idx="79">
                  <c:v>131.00641312647048</c:v>
                </c:pt>
                <c:pt idx="80">
                  <c:v>129.3688329623896</c:v>
                </c:pt>
                <c:pt idx="81">
                  <c:v>127.77168687643417</c:v>
                </c:pt>
                <c:pt idx="82">
                  <c:v>126.21349557306306</c:v>
                </c:pt>
                <c:pt idx="83">
                  <c:v>124.69285104808637</c:v>
                </c:pt>
                <c:pt idx="84">
                  <c:v>123.20841234513296</c:v>
                </c:pt>
                <c:pt idx="85">
                  <c:v>121.75890161166083</c:v>
                </c:pt>
                <c:pt idx="86">
                  <c:v>120.34310043012985</c:v>
                </c:pt>
                <c:pt idx="87">
                  <c:v>118.95984640219733</c:v>
                </c:pt>
                <c:pt idx="88">
                  <c:v>117.60802996580874</c:v>
                </c:pt>
                <c:pt idx="89">
                  <c:v>116.28659142686705</c:v>
                </c:pt>
                <c:pt idx="90">
                  <c:v>114.99451818879076</c:v>
                </c:pt>
                <c:pt idx="91">
                  <c:v>113.73084216473814</c:v>
                </c:pt>
                <c:pt idx="92">
                  <c:v>112.49463735859965</c:v>
                </c:pt>
                <c:pt idx="93">
                  <c:v>111.28501760205556</c:v>
                </c:pt>
                <c:pt idx="94">
                  <c:v>110.10113443607628</c:v>
                </c:pt>
                <c:pt idx="95">
                  <c:v>108.94217512622284</c:v>
                </c:pt>
                <c:pt idx="96">
                  <c:v>107.80736080199132</c:v>
                </c:pt>
                <c:pt idx="97">
                  <c:v>106.69594471124917</c:v>
                </c:pt>
                <c:pt idx="98">
                  <c:v>105.60721058154255</c:v>
                </c:pt>
                <c:pt idx="99">
                  <c:v>104.54047108071886</c:v>
                </c:pt>
                <c:pt idx="100">
                  <c:v>103.49506636991165</c:v>
                </c:pt>
              </c:numCache>
            </c:numRef>
          </c:val>
          <c:smooth val="0"/>
          <c:extLst>
            <c:ext xmlns:c16="http://schemas.microsoft.com/office/drawing/2014/chart" uri="{C3380CC4-5D6E-409C-BE32-E72D297353CC}">
              <c16:uniqueId val="{00000000-4D2D-4DA7-8FB2-15EE870D07BC}"/>
            </c:ext>
          </c:extLst>
        </c:ser>
        <c:ser>
          <c:idx val="0"/>
          <c:order val="1"/>
          <c:tx>
            <c:v>VIN-nom</c:v>
          </c:tx>
          <c:spPr>
            <a:ln w="28575">
              <a:solidFill>
                <a:srgbClr val="FF0000"/>
              </a:solidFill>
              <a:prstDash val="lg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Dual'!$AM$5:$AM$105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349.81551083155921</c:v>
                </c:pt>
                <c:pt idx="34">
                  <c:v>339.52681933651337</c:v>
                </c:pt>
                <c:pt idx="35">
                  <c:v>329.82605306975591</c:v>
                </c:pt>
                <c:pt idx="36">
                  <c:v>320.66421826226264</c:v>
                </c:pt>
                <c:pt idx="37">
                  <c:v>311.99761776868803</c:v>
                </c:pt>
                <c:pt idx="38">
                  <c:v>303.78715414319612</c:v>
                </c:pt>
                <c:pt idx="39">
                  <c:v>295.99773993439624</c:v>
                </c:pt>
                <c:pt idx="40">
                  <c:v>288.59779643603622</c:v>
                </c:pt>
                <c:pt idx="41">
                  <c:v>281.558825791255</c:v>
                </c:pt>
                <c:pt idx="42">
                  <c:v>274.85504422479659</c:v>
                </c:pt>
                <c:pt idx="43">
                  <c:v>268.4630664521269</c:v>
                </c:pt>
                <c:pt idx="44">
                  <c:v>262.36163312366949</c:v>
                </c:pt>
                <c:pt idx="45">
                  <c:v>256.53137460981009</c:v>
                </c:pt>
                <c:pt idx="46">
                  <c:v>250.95460559655336</c:v>
                </c:pt>
                <c:pt idx="47">
                  <c:v>245.61514590300965</c:v>
                </c:pt>
                <c:pt idx="48">
                  <c:v>240.49816369669696</c:v>
                </c:pt>
                <c:pt idx="49">
                  <c:v>235.59003790696849</c:v>
                </c:pt>
                <c:pt idx="50">
                  <c:v>230.87823714882904</c:v>
                </c:pt>
                <c:pt idx="51">
                  <c:v>226.35121289100891</c:v>
                </c:pt>
                <c:pt idx="52">
                  <c:v>221.99830495079718</c:v>
                </c:pt>
                <c:pt idx="53">
                  <c:v>217.80965768757454</c:v>
                </c:pt>
                <c:pt idx="54">
                  <c:v>213.77614550817506</c:v>
                </c:pt>
                <c:pt idx="55">
                  <c:v>209.88930649893553</c:v>
                </c:pt>
                <c:pt idx="56">
                  <c:v>206.14128316859737</c:v>
                </c:pt>
                <c:pt idx="57">
                  <c:v>202.5247694287975</c:v>
                </c:pt>
                <c:pt idx="58">
                  <c:v>199.03296305933543</c:v>
                </c:pt>
                <c:pt idx="59">
                  <c:v>195.65952300748233</c:v>
                </c:pt>
                <c:pt idx="60">
                  <c:v>192.39853095735756</c:v>
                </c:pt>
                <c:pt idx="61">
                  <c:v>189.24445667936811</c:v>
                </c:pt>
                <c:pt idx="62">
                  <c:v>186.19212673292668</c:v>
                </c:pt>
                <c:pt idx="63">
                  <c:v>183.2366961498644</c:v>
                </c:pt>
                <c:pt idx="64">
                  <c:v>180.37362277252276</c:v>
                </c:pt>
                <c:pt idx="65">
                  <c:v>177.59864396063779</c:v>
                </c:pt>
                <c:pt idx="66">
                  <c:v>174.9077554157796</c:v>
                </c:pt>
                <c:pt idx="67">
                  <c:v>172.29719190211128</c:v>
                </c:pt>
                <c:pt idx="68">
                  <c:v>169.76340966825668</c:v>
                </c:pt>
                <c:pt idx="69">
                  <c:v>167.3030703977023</c:v>
                </c:pt>
                <c:pt idx="70">
                  <c:v>164.91302653487796</c:v>
                </c:pt>
                <c:pt idx="71">
                  <c:v>162.59030785128812</c:v>
                </c:pt>
                <c:pt idx="72">
                  <c:v>160.33210913113132</c:v>
                </c:pt>
                <c:pt idx="73">
                  <c:v>158.13577886906106</c:v>
                </c:pt>
                <c:pt idx="74">
                  <c:v>155.99880888434402</c:v>
                </c:pt>
                <c:pt idx="75">
                  <c:v>153.91882476588603</c:v>
                </c:pt>
                <c:pt idx="76">
                  <c:v>151.89357707159806</c:v>
                </c:pt>
                <c:pt idx="77">
                  <c:v>149.92093321352536</c:v>
                </c:pt>
                <c:pt idx="78">
                  <c:v>147.99886996719812</c:v>
                </c:pt>
                <c:pt idx="79">
                  <c:v>146.1254665498918</c:v>
                </c:pt>
                <c:pt idx="80">
                  <c:v>144.29889821801811</c:v>
                </c:pt>
                <c:pt idx="81">
                  <c:v>142.51743033878338</c:v>
                </c:pt>
                <c:pt idx="82">
                  <c:v>140.7794128956275</c:v>
                </c:pt>
                <c:pt idx="83">
                  <c:v>139.0832753908609</c:v>
                </c:pt>
                <c:pt idx="84">
                  <c:v>137.42752211239829</c:v>
                </c:pt>
                <c:pt idx="85">
                  <c:v>135.81072773460534</c:v>
                </c:pt>
                <c:pt idx="86">
                  <c:v>134.23153322606345</c:v>
                </c:pt>
                <c:pt idx="87">
                  <c:v>132.68864203955695</c:v>
                </c:pt>
                <c:pt idx="88">
                  <c:v>131.18081656183475</c:v>
                </c:pt>
                <c:pt idx="89">
                  <c:v>129.70687480271297</c:v>
                </c:pt>
                <c:pt idx="90">
                  <c:v>128.26568730490504</c:v>
                </c:pt>
                <c:pt idx="91">
                  <c:v>126.8561742575984</c:v>
                </c:pt>
                <c:pt idx="92">
                  <c:v>125.47730279827668</c:v>
                </c:pt>
                <c:pt idx="93">
                  <c:v>124.12808448861782</c:v>
                </c:pt>
                <c:pt idx="94">
                  <c:v>122.80757295150482</c:v>
                </c:pt>
                <c:pt idx="95">
                  <c:v>121.51486165727846</c:v>
                </c:pt>
                <c:pt idx="96">
                  <c:v>120.24908184834848</c:v>
                </c:pt>
                <c:pt idx="97">
                  <c:v>119.00940059217994</c:v>
                </c:pt>
                <c:pt idx="98">
                  <c:v>117.79501895348425</c:v>
                </c:pt>
                <c:pt idx="99">
                  <c:v>116.60517027718639</c:v>
                </c:pt>
                <c:pt idx="100">
                  <c:v>115.43911857441452</c:v>
                </c:pt>
              </c:numCache>
            </c:numRef>
          </c:val>
          <c:smooth val="0"/>
          <c:extLst>
            <c:ext xmlns:c16="http://schemas.microsoft.com/office/drawing/2014/chart" uri="{C3380CC4-5D6E-409C-BE32-E72D297353CC}">
              <c16:uniqueId val="{00000001-4D2D-4DA7-8FB2-15EE870D07BC}"/>
            </c:ext>
          </c:extLst>
        </c:ser>
        <c:ser>
          <c:idx val="2"/>
          <c:order val="2"/>
          <c:tx>
            <c:v>VIN-max</c:v>
          </c:tx>
          <c:spPr>
            <a:ln>
              <a:solidFill>
                <a:srgbClr val="0000FF"/>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Dual'!$AM$216:$AM$316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342.7556013909317</c:v>
                </c:pt>
                <c:pt idx="38">
                  <c:v>333.73571714380182</c:v>
                </c:pt>
                <c:pt idx="39">
                  <c:v>325.17839106319144</c:v>
                </c:pt>
                <c:pt idx="40">
                  <c:v>317.04893128661172</c:v>
                </c:pt>
                <c:pt idx="41">
                  <c:v>309.31603052352369</c:v>
                </c:pt>
                <c:pt idx="42">
                  <c:v>301.95136313010647</c:v>
                </c:pt>
                <c:pt idx="43">
                  <c:v>294.92923840615049</c:v>
                </c:pt>
                <c:pt idx="44">
                  <c:v>288.22630116964706</c:v>
                </c:pt>
                <c:pt idx="45">
                  <c:v>281.82127225476597</c:v>
                </c:pt>
                <c:pt idx="46">
                  <c:v>275.69472285792324</c:v>
                </c:pt>
                <c:pt idx="47">
                  <c:v>269.82887769073346</c:v>
                </c:pt>
                <c:pt idx="48">
                  <c:v>264.20744273884316</c:v>
                </c:pt>
                <c:pt idx="49">
                  <c:v>258.81545411151978</c:v>
                </c:pt>
                <c:pt idx="50">
                  <c:v>253.63914502928941</c:v>
                </c:pt>
                <c:pt idx="51">
                  <c:v>248.66582846008762</c:v>
                </c:pt>
                <c:pt idx="52">
                  <c:v>243.88379329739362</c:v>
                </c:pt>
                <c:pt idx="53">
                  <c:v>239.28221229178243</c:v>
                </c:pt>
                <c:pt idx="54">
                  <c:v>234.85106021230499</c:v>
                </c:pt>
                <c:pt idx="55">
                  <c:v>230.5810409357176</c:v>
                </c:pt>
                <c:pt idx="56">
                  <c:v>226.46352234757981</c:v>
                </c:pt>
                <c:pt idx="57">
                  <c:v>222.49047809586799</c:v>
                </c:pt>
                <c:pt idx="58">
                  <c:v>218.65443537007707</c:v>
                </c:pt>
                <c:pt idx="59">
                  <c:v>214.94842799092328</c:v>
                </c:pt>
                <c:pt idx="60">
                  <c:v>211.36595419107454</c:v>
                </c:pt>
                <c:pt idx="61">
                  <c:v>207.90093854859794</c:v>
                </c:pt>
                <c:pt idx="62">
                  <c:v>204.54769760426564</c:v>
                </c:pt>
                <c:pt idx="63">
                  <c:v>201.30090875340429</c:v>
                </c:pt>
                <c:pt idx="64">
                  <c:v>198.15558205413237</c:v>
                </c:pt>
                <c:pt idx="65">
                  <c:v>195.10703463791492</c:v>
                </c:pt>
                <c:pt idx="66">
                  <c:v>192.15086744643136</c:v>
                </c:pt>
                <c:pt idx="67">
                  <c:v>189.28294405170851</c:v>
                </c:pt>
                <c:pt idx="68">
                  <c:v>186.49937134506573</c:v>
                </c:pt>
                <c:pt idx="69">
                  <c:v>183.79648190528223</c:v>
                </c:pt>
                <c:pt idx="70">
                  <c:v>181.1708178780639</c:v>
                </c:pt>
                <c:pt idx="71">
                  <c:v>178.61911621780948</c:v>
                </c:pt>
                <c:pt idx="72">
                  <c:v>176.13829515922879</c:v>
                </c:pt>
                <c:pt idx="73">
                  <c:v>173.7254418008832</c:v>
                </c:pt>
                <c:pt idx="74">
                  <c:v>171.37780069546585</c:v>
                </c:pt>
                <c:pt idx="75">
                  <c:v>169.09276335285961</c:v>
                </c:pt>
                <c:pt idx="76">
                  <c:v>166.86785857190091</c:v>
                </c:pt>
                <c:pt idx="77">
                  <c:v>164.70074352551259</c:v>
                </c:pt>
                <c:pt idx="78">
                  <c:v>162.58919553159572</c:v>
                </c:pt>
                <c:pt idx="79">
                  <c:v>160.53110444891735</c:v>
                </c:pt>
                <c:pt idx="80">
                  <c:v>158.52446564330586</c:v>
                </c:pt>
                <c:pt idx="81">
                  <c:v>156.56737347487001</c:v>
                </c:pt>
                <c:pt idx="82">
                  <c:v>154.65801526176185</c:v>
                </c:pt>
                <c:pt idx="83">
                  <c:v>152.79466568029483</c:v>
                </c:pt>
                <c:pt idx="84">
                  <c:v>150.97568156505324</c:v>
                </c:pt>
                <c:pt idx="85">
                  <c:v>149.19949707605264</c:v>
                </c:pt>
                <c:pt idx="86">
                  <c:v>147.46461920307524</c:v>
                </c:pt>
                <c:pt idx="87">
                  <c:v>145.76962358005139</c:v>
                </c:pt>
                <c:pt idx="88">
                  <c:v>144.11315058482353</c:v>
                </c:pt>
                <c:pt idx="89">
                  <c:v>142.49390170184799</c:v>
                </c:pt>
                <c:pt idx="90">
                  <c:v>140.91063612738299</c:v>
                </c:pt>
                <c:pt idx="91">
                  <c:v>139.36216759851064</c:v>
                </c:pt>
                <c:pt idx="92">
                  <c:v>137.84736142896162</c:v>
                </c:pt>
                <c:pt idx="93">
                  <c:v>136.36513173617712</c:v>
                </c:pt>
                <c:pt idx="94">
                  <c:v>134.91443884536673</c:v>
                </c:pt>
                <c:pt idx="95">
                  <c:v>133.49428685752073</c:v>
                </c:pt>
                <c:pt idx="96">
                  <c:v>132.10372136942158</c:v>
                </c:pt>
                <c:pt idx="97">
                  <c:v>130.74182733468527</c:v>
                </c:pt>
                <c:pt idx="98">
                  <c:v>129.40772705575989</c:v>
                </c:pt>
                <c:pt idx="99">
                  <c:v>128.1005782976209</c:v>
                </c:pt>
                <c:pt idx="100">
                  <c:v>126.8195725146447</c:v>
                </c:pt>
              </c:numCache>
            </c:numRef>
          </c:val>
          <c:smooth val="0"/>
          <c:extLst>
            <c:ext xmlns:c16="http://schemas.microsoft.com/office/drawing/2014/chart" uri="{C3380CC4-5D6E-409C-BE32-E72D297353CC}">
              <c16:uniqueId val="{00000002-4D2D-4DA7-8FB2-15EE870D07BC}"/>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4D2D-4DA7-8FB2-15EE870D07BC}"/>
            </c:ext>
          </c:extLst>
        </c:ser>
        <c:ser>
          <c:idx val="4"/>
          <c:order val="4"/>
          <c:spPr>
            <a:ln>
              <a:noFill/>
            </a:ln>
          </c:spPr>
          <c:marker>
            <c:symbol val="x"/>
            <c:size val="10"/>
            <c:spPr>
              <a:pattFill prst="pct5">
                <a:fgClr>
                  <a:schemeClr val="tx1"/>
                </a:fgClr>
                <a:bgClr>
                  <a:schemeClr val="bg1"/>
                </a:bgClr>
              </a:pattFill>
              <a:ln>
                <a:solidFill>
                  <a:srgbClr val="FF0000"/>
                </a:solidFill>
              </a:ln>
            </c:spPr>
          </c:marker>
          <c:dPt>
            <c:idx val="65"/>
            <c:bubble3D val="0"/>
            <c:extLst>
              <c:ext xmlns:c16="http://schemas.microsoft.com/office/drawing/2014/chart" uri="{C3380CC4-5D6E-409C-BE32-E72D297353CC}">
                <c16:uniqueId val="{00000004-4D2D-4DA7-8FB2-15EE870D07BC}"/>
              </c:ext>
            </c:extLst>
          </c:dPt>
          <c:dPt>
            <c:idx val="92"/>
            <c:bubble3D val="0"/>
            <c:extLst>
              <c:ext xmlns:c16="http://schemas.microsoft.com/office/drawing/2014/chart" uri="{C3380CC4-5D6E-409C-BE32-E72D297353CC}">
                <c16:uniqueId val="{00000005-4D2D-4DA7-8FB2-15EE870D07BC}"/>
              </c:ext>
            </c:extLst>
          </c:dPt>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6-4D2D-4DA7-8FB2-15EE870D07BC}"/>
            </c:ext>
          </c:extLst>
        </c:ser>
        <c:ser>
          <c:idx val="5"/>
          <c:order val="5"/>
          <c:spPr>
            <a:ln>
              <a:noFill/>
            </a:ln>
          </c:spPr>
          <c:marker>
            <c:symbol val="x"/>
            <c:size val="10"/>
            <c:spPr>
              <a:pattFill prst="pct5">
                <a:fgClr>
                  <a:schemeClr val="tx1"/>
                </a:fgClr>
                <a:bgClr>
                  <a:schemeClr val="bg1"/>
                </a:bgClr>
              </a:pattFill>
              <a:ln>
                <a:solidFill>
                  <a:srgbClr val="0000FF"/>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7-4D2D-4DA7-8FB2-15EE870D07BC}"/>
            </c:ext>
          </c:extLst>
        </c:ser>
        <c:dLbls>
          <c:showLegendKey val="0"/>
          <c:showVal val="0"/>
          <c:showCatName val="0"/>
          <c:showSerName val="0"/>
          <c:showPercent val="0"/>
          <c:showBubbleSize val="0"/>
        </c:dLbls>
        <c:smooth val="0"/>
        <c:axId val="144776192"/>
        <c:axId val="144795136"/>
      </c:lineChart>
      <c:catAx>
        <c:axId val="144776192"/>
        <c:scaling>
          <c:orientation val="minMax"/>
        </c:scaling>
        <c:delete val="0"/>
        <c:axPos val="b"/>
        <c:majorGridlines>
          <c:spPr>
            <a:ln w="15875">
              <a:solidFill>
                <a:srgbClr val="969696"/>
              </a:solidFill>
              <a:prstDash val="sysDash"/>
            </a:ln>
          </c:spPr>
        </c:majorGridlines>
        <c:title>
          <c:tx>
            <c:rich>
              <a:bodyPr/>
              <a:lstStyle/>
              <a:p>
                <a:pPr>
                  <a:defRPr sz="1000" b="1" i="0" u="none" strike="noStrike" baseline="0">
                    <a:solidFill>
                      <a:schemeClr val="tx1"/>
                    </a:solidFill>
                    <a:latin typeface="Arial" pitchFamily="34" charset="0"/>
                    <a:ea typeface="Calibri"/>
                    <a:cs typeface="Arial" pitchFamily="34" charset="0"/>
                  </a:defRPr>
                </a:pPr>
                <a:r>
                  <a:rPr lang="en-US" sz="1200" b="1" i="0" baseline="0">
                    <a:effectLst/>
                  </a:rPr>
                  <a:t>% Total Rated Output Power</a:t>
                </a:r>
                <a:endParaRPr lang="en-US" sz="1000">
                  <a:effectLst/>
                </a:endParaRPr>
              </a:p>
            </c:rich>
          </c:tx>
          <c:layout>
            <c:manualLayout>
              <c:xMode val="edge"/>
              <c:yMode val="edge"/>
              <c:x val="0.40984320248210387"/>
              <c:y val="0.93853774450069472"/>
            </c:manualLayout>
          </c:layout>
          <c:overlay val="0"/>
          <c:spPr>
            <a:noFill/>
            <a:ln w="25400">
              <a:noFill/>
            </a:ln>
          </c:spPr>
        </c:title>
        <c:numFmt formatCode="General"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44795136"/>
        <c:crosses val="autoZero"/>
        <c:auto val="1"/>
        <c:lblAlgn val="ctr"/>
        <c:lblOffset val="100"/>
        <c:tickLblSkip val="20"/>
        <c:tickMarkSkip val="10"/>
        <c:noMultiLvlLbl val="0"/>
      </c:catAx>
      <c:valAx>
        <c:axId val="144795136"/>
        <c:scaling>
          <c:orientation val="minMax"/>
          <c:max val="400"/>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Switching</a:t>
                </a:r>
                <a:r>
                  <a:rPr lang="en-US" sz="1200" b="1" baseline="0">
                    <a:solidFill>
                      <a:schemeClr val="tx1"/>
                    </a:solidFill>
                    <a:latin typeface="Arial" pitchFamily="34" charset="0"/>
                    <a:cs typeface="Arial" pitchFamily="34" charset="0"/>
                  </a:rPr>
                  <a:t> Frquency (kHz)</a:t>
                </a:r>
                <a:endParaRPr lang="en-US" sz="1200" b="1">
                  <a:solidFill>
                    <a:schemeClr val="tx1"/>
                  </a:solidFill>
                  <a:latin typeface="Arial" pitchFamily="34" charset="0"/>
                  <a:cs typeface="Arial" pitchFamily="34" charset="0"/>
                </a:endParaRPr>
              </a:p>
            </c:rich>
          </c:tx>
          <c:layout>
            <c:manualLayout>
              <c:xMode val="edge"/>
              <c:yMode val="edge"/>
              <c:x val="8.5568268367748525E-3"/>
              <c:y val="0.30050661099568304"/>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44776192"/>
        <c:crossesAt val="0"/>
        <c:crossBetween val="between"/>
        <c:majorUnit val="50"/>
        <c:minorUnit val="25"/>
      </c:valAx>
      <c:spPr>
        <a:solidFill>
          <a:srgbClr val="FFFFFF"/>
        </a:solidFill>
        <a:ln w="25400">
          <a:noFill/>
        </a:ln>
      </c:spPr>
    </c:plotArea>
    <c:legend>
      <c:legendPos val="t"/>
      <c:legendEntry>
        <c:idx val="3"/>
        <c:delete val="1"/>
      </c:legendEntry>
      <c:legendEntry>
        <c:idx val="4"/>
        <c:delete val="1"/>
      </c:legendEntry>
      <c:legendEntry>
        <c:idx val="5"/>
        <c:delete val="1"/>
      </c:legendEntry>
      <c:layout>
        <c:manualLayout>
          <c:xMode val="edge"/>
          <c:yMode val="edge"/>
          <c:x val="0.31258613484968906"/>
          <c:y val="1.9480197482498431E-2"/>
          <c:w val="0.42410841724909248"/>
          <c:h val="5.433576684781775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val>
            <c:numRef>
              <c:f>'Calculations - Single'!$AK$110:$AK$210</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1.2032533547241444</c:v>
                </c:pt>
                <c:pt idx="27">
                  <c:v>1.2074074074074075</c:v>
                </c:pt>
                <c:pt idx="28">
                  <c:v>1.211485219503992</c:v>
                </c:pt>
                <c:pt idx="29">
                  <c:v>1.2154908408170078</c:v>
                </c:pt>
                <c:pt idx="30">
                  <c:v>1.2194279748272874</c:v>
                </c:pt>
                <c:pt idx="31">
                  <c:v>1.2233000187899494</c:v>
                </c:pt>
                <c:pt idx="32">
                  <c:v>1.2271100980526595</c:v>
                </c:pt>
                <c:pt idx="33">
                  <c:v>1.2308610955818815</c:v>
                </c:pt>
                <c:pt idx="34">
                  <c:v>1.2345556774904216</c:v>
                </c:pt>
                <c:pt idx="35">
                  <c:v>1.2381963152088789</c:v>
                </c:pt>
                <c:pt idx="36">
                  <c:v>1.2417853048250189</c:v>
                </c:pt>
                <c:pt idx="37">
                  <c:v>1.2453247840210553</c:v>
                </c:pt>
                <c:pt idx="38">
                  <c:v>1.2488167469637361</c:v>
                </c:pt>
                <c:pt idx="39">
                  <c:v>1.252263057441777</c:v>
                </c:pt>
                <c:pt idx="40">
                  <c:v>1.2556654604963784</c:v>
                </c:pt>
                <c:pt idx="41">
                  <c:v>1.2590255927508498</c:v>
                </c:pt>
                <c:pt idx="42">
                  <c:v>1.2623449916128846</c:v>
                </c:pt>
                <c:pt idx="43">
                  <c:v>1.2656251034963097</c:v>
                </c:pt>
                <c:pt idx="44">
                  <c:v>1.2688672911870631</c:v>
                </c:pt>
                <c:pt idx="45">
                  <c:v>1.2720728404598087</c:v>
                </c:pt>
                <c:pt idx="46">
                  <c:v>1.285137888813745</c:v>
                </c:pt>
                <c:pt idx="47">
                  <c:v>1.2916585997621921</c:v>
                </c:pt>
                <c:pt idx="48">
                  <c:v>1.298179310710639</c:v>
                </c:pt>
                <c:pt idx="49">
                  <c:v>1.3047000216590861</c:v>
                </c:pt>
                <c:pt idx="50">
                  <c:v>1.3112207326075329</c:v>
                </c:pt>
                <c:pt idx="51">
                  <c:v>1.3177414435559798</c:v>
                </c:pt>
                <c:pt idx="52">
                  <c:v>1.3242621545044269</c:v>
                </c:pt>
                <c:pt idx="53">
                  <c:v>1.3307828654528739</c:v>
                </c:pt>
                <c:pt idx="54">
                  <c:v>1.3373035764013208</c:v>
                </c:pt>
                <c:pt idx="55">
                  <c:v>1.3438242873497677</c:v>
                </c:pt>
                <c:pt idx="56">
                  <c:v>1.3503449982982147</c:v>
                </c:pt>
                <c:pt idx="57">
                  <c:v>1.3568657092466616</c:v>
                </c:pt>
                <c:pt idx="58">
                  <c:v>1.3633864201951085</c:v>
                </c:pt>
                <c:pt idx="59">
                  <c:v>1.3699071311435556</c:v>
                </c:pt>
                <c:pt idx="60">
                  <c:v>1.3764278420920024</c:v>
                </c:pt>
                <c:pt idx="61">
                  <c:v>1.3829485530404493</c:v>
                </c:pt>
                <c:pt idx="62">
                  <c:v>1.3894692639888964</c:v>
                </c:pt>
                <c:pt idx="63">
                  <c:v>1.3959899749373432</c:v>
                </c:pt>
                <c:pt idx="64">
                  <c:v>1.4025106858857903</c:v>
                </c:pt>
                <c:pt idx="65">
                  <c:v>1.4090313968342372</c:v>
                </c:pt>
                <c:pt idx="66">
                  <c:v>1.4155521077826843</c:v>
                </c:pt>
                <c:pt idx="67">
                  <c:v>1.4220728187311311</c:v>
                </c:pt>
                <c:pt idx="68">
                  <c:v>1.4285935296795782</c:v>
                </c:pt>
                <c:pt idx="69">
                  <c:v>1.4351142406280251</c:v>
                </c:pt>
                <c:pt idx="70">
                  <c:v>1.4416349515764719</c:v>
                </c:pt>
                <c:pt idx="71">
                  <c:v>1.4481556625249188</c:v>
                </c:pt>
                <c:pt idx="72">
                  <c:v>1.4546763734733659</c:v>
                </c:pt>
                <c:pt idx="73">
                  <c:v>1.461197084421813</c:v>
                </c:pt>
                <c:pt idx="74">
                  <c:v>1.4677177953702598</c:v>
                </c:pt>
                <c:pt idx="75">
                  <c:v>1.4742385063187069</c:v>
                </c:pt>
                <c:pt idx="76">
                  <c:v>1.4807592172671538</c:v>
                </c:pt>
                <c:pt idx="77">
                  <c:v>1.4872799282156008</c:v>
                </c:pt>
                <c:pt idx="78">
                  <c:v>1.4938006391640477</c:v>
                </c:pt>
                <c:pt idx="79">
                  <c:v>1.5003213501124948</c:v>
                </c:pt>
                <c:pt idx="80">
                  <c:v>1.5068420610609417</c:v>
                </c:pt>
                <c:pt idx="81">
                  <c:v>1.5133627720093885</c:v>
                </c:pt>
                <c:pt idx="82">
                  <c:v>1.5198834829578354</c:v>
                </c:pt>
                <c:pt idx="83">
                  <c:v>1.5264041939062825</c:v>
                </c:pt>
                <c:pt idx="84">
                  <c:v>1.5329249048547293</c:v>
                </c:pt>
                <c:pt idx="85">
                  <c:v>1.5394456158031764</c:v>
                </c:pt>
                <c:pt idx="86">
                  <c:v>1.5459663267516233</c:v>
                </c:pt>
                <c:pt idx="87">
                  <c:v>1.5524870377000703</c:v>
                </c:pt>
                <c:pt idx="88">
                  <c:v>1.5590077486485172</c:v>
                </c:pt>
                <c:pt idx="89">
                  <c:v>1.5655284595969641</c:v>
                </c:pt>
                <c:pt idx="90">
                  <c:v>1.5720491705454112</c:v>
                </c:pt>
                <c:pt idx="91">
                  <c:v>1.5785698814938582</c:v>
                </c:pt>
                <c:pt idx="92">
                  <c:v>1.5850905924423051</c:v>
                </c:pt>
                <c:pt idx="93">
                  <c:v>1.591611303390752</c:v>
                </c:pt>
                <c:pt idx="94">
                  <c:v>1.5981320143391988</c:v>
                </c:pt>
                <c:pt idx="95">
                  <c:v>1.6046527252876461</c:v>
                </c:pt>
                <c:pt idx="96">
                  <c:v>1.611173436236093</c:v>
                </c:pt>
                <c:pt idx="97">
                  <c:v>1.6176941471845399</c:v>
                </c:pt>
                <c:pt idx="98">
                  <c:v>1.6242148581329867</c:v>
                </c:pt>
                <c:pt idx="99">
                  <c:v>1.6307355690814338</c:v>
                </c:pt>
                <c:pt idx="100">
                  <c:v>1.6372562800298809</c:v>
                </c:pt>
              </c:numCache>
            </c:numRef>
          </c:val>
          <c:smooth val="0"/>
          <c:extLst>
            <c:ext xmlns:c16="http://schemas.microsoft.com/office/drawing/2014/chart" uri="{C3380CC4-5D6E-409C-BE32-E72D297353CC}">
              <c16:uniqueId val="{00000000-D77D-4460-B710-F2502F45B5AC}"/>
            </c:ext>
          </c:extLst>
        </c:ser>
        <c:ser>
          <c:idx val="0"/>
          <c:order val="1"/>
          <c:tx>
            <c:v>VIN-nom</c:v>
          </c:tx>
          <c:spPr>
            <a:ln w="28575">
              <a:solidFill>
                <a:srgbClr val="0000FF"/>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Single'!$AK$5:$AK$105</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1.2089184064109926</c:v>
                </c:pt>
                <c:pt idx="27">
                  <c:v>1.2131803745374417</c:v>
                </c:pt>
                <c:pt idx="28">
                  <c:v>1.2173641214724085</c:v>
                </c:pt>
                <c:pt idx="29">
                  <c:v>1.2214738022262135</c:v>
                </c:pt>
                <c:pt idx="30">
                  <c:v>1.2255132164900187</c:v>
                </c:pt>
                <c:pt idx="31">
                  <c:v>1.229485849774032</c:v>
                </c:pt>
                <c:pt idx="32">
                  <c:v>1.2333949086173011</c:v>
                </c:pt>
                <c:pt idx="33">
                  <c:v>1.2372433508810077</c:v>
                </c:pt>
                <c:pt idx="34">
                  <c:v>1.2410339119391753</c:v>
                </c:pt>
                <c:pt idx="35">
                  <c:v>1.244769127426097</c:v>
                </c:pt>
                <c:pt idx="36">
                  <c:v>1.2484513530781152</c:v>
                </c:pt>
                <c:pt idx="37">
                  <c:v>1.2520827821109042</c:v>
                </c:pt>
                <c:pt idx="38">
                  <c:v>1.2556654604963784</c:v>
                </c:pt>
                <c:pt idx="39">
                  <c:v>1.2592013004414124</c:v>
                </c:pt>
                <c:pt idx="40">
                  <c:v>1.2626920923205018</c:v>
                </c:pt>
                <c:pt idx="41">
                  <c:v>1.2661395152737327</c:v>
                </c:pt>
                <c:pt idx="42">
                  <c:v>1.2695451466481165</c:v>
                </c:pt>
                <c:pt idx="43">
                  <c:v>1.2729104704329282</c:v>
                </c:pt>
                <c:pt idx="44">
                  <c:v>1.276236884817038</c:v>
                </c:pt>
                <c:pt idx="45">
                  <c:v>1.2795257089774172</c:v>
                </c:pt>
                <c:pt idx="46">
                  <c:v>1.2827781891923034</c:v>
                </c:pt>
                <c:pt idx="47">
                  <c:v>1.2859955043593716</c:v>
                </c:pt>
                <c:pt idx="48">
                  <c:v>1.2891787709881939</c:v>
                </c:pt>
                <c:pt idx="49">
                  <c:v>1.2923290477269367</c:v>
                </c:pt>
                <c:pt idx="50">
                  <c:v>1.2954473394753301</c:v>
                </c:pt>
                <c:pt idx="51">
                  <c:v>1.2985346011292027</c:v>
                </c:pt>
                <c:pt idx="52">
                  <c:v>1.3062417949635996</c:v>
                </c:pt>
                <c:pt idx="53">
                  <c:v>1.3124159605362613</c:v>
                </c:pt>
                <c:pt idx="54">
                  <c:v>1.3185901261089232</c:v>
                </c:pt>
                <c:pt idx="55">
                  <c:v>1.3247642916815849</c:v>
                </c:pt>
                <c:pt idx="56">
                  <c:v>1.3309384572542469</c:v>
                </c:pt>
                <c:pt idx="57">
                  <c:v>1.3371126228269086</c:v>
                </c:pt>
                <c:pt idx="58">
                  <c:v>1.3432867883995703</c:v>
                </c:pt>
                <c:pt idx="59">
                  <c:v>1.3494609539722322</c:v>
                </c:pt>
                <c:pt idx="60">
                  <c:v>1.3556351195448939</c:v>
                </c:pt>
                <c:pt idx="61">
                  <c:v>1.3618092851175558</c:v>
                </c:pt>
                <c:pt idx="62">
                  <c:v>1.3679834506902175</c:v>
                </c:pt>
                <c:pt idx="63">
                  <c:v>1.3741576162628795</c:v>
                </c:pt>
                <c:pt idx="64">
                  <c:v>1.3803317818355412</c:v>
                </c:pt>
                <c:pt idx="65">
                  <c:v>1.3865059474082031</c:v>
                </c:pt>
                <c:pt idx="66">
                  <c:v>1.3926801129808648</c:v>
                </c:pt>
                <c:pt idx="67">
                  <c:v>1.3988542785535267</c:v>
                </c:pt>
                <c:pt idx="68">
                  <c:v>1.4050284441261884</c:v>
                </c:pt>
                <c:pt idx="69">
                  <c:v>1.4112026096988504</c:v>
                </c:pt>
                <c:pt idx="70">
                  <c:v>1.4173767752715121</c:v>
                </c:pt>
                <c:pt idx="71">
                  <c:v>1.423550940844174</c:v>
                </c:pt>
                <c:pt idx="72">
                  <c:v>1.4297251064168357</c:v>
                </c:pt>
                <c:pt idx="73">
                  <c:v>1.4358992719894976</c:v>
                </c:pt>
                <c:pt idx="74">
                  <c:v>1.4420734375621593</c:v>
                </c:pt>
                <c:pt idx="75">
                  <c:v>1.4482476031348213</c:v>
                </c:pt>
                <c:pt idx="76">
                  <c:v>1.454421768707483</c:v>
                </c:pt>
                <c:pt idx="77">
                  <c:v>1.4605959342801449</c:v>
                </c:pt>
                <c:pt idx="78">
                  <c:v>1.4667700998528068</c:v>
                </c:pt>
                <c:pt idx="79">
                  <c:v>1.4729442654254685</c:v>
                </c:pt>
                <c:pt idx="80">
                  <c:v>1.4791184309981305</c:v>
                </c:pt>
                <c:pt idx="81">
                  <c:v>1.4852925965707922</c:v>
                </c:pt>
                <c:pt idx="82">
                  <c:v>1.4914667621434539</c:v>
                </c:pt>
                <c:pt idx="83">
                  <c:v>1.4976409277161158</c:v>
                </c:pt>
                <c:pt idx="84">
                  <c:v>1.5038150932887775</c:v>
                </c:pt>
                <c:pt idx="85">
                  <c:v>1.5099892588614394</c:v>
                </c:pt>
                <c:pt idx="86">
                  <c:v>1.5161634244341011</c:v>
                </c:pt>
                <c:pt idx="87">
                  <c:v>1.5223375900067631</c:v>
                </c:pt>
                <c:pt idx="88">
                  <c:v>1.5285117555794248</c:v>
                </c:pt>
                <c:pt idx="89">
                  <c:v>1.5346859211520867</c:v>
                </c:pt>
                <c:pt idx="90">
                  <c:v>1.5408600867247486</c:v>
                </c:pt>
                <c:pt idx="91">
                  <c:v>1.5470342522974103</c:v>
                </c:pt>
                <c:pt idx="92">
                  <c:v>1.553208417870072</c:v>
                </c:pt>
                <c:pt idx="93">
                  <c:v>1.5593825834427339</c:v>
                </c:pt>
                <c:pt idx="94">
                  <c:v>1.5655567490153959</c:v>
                </c:pt>
                <c:pt idx="95">
                  <c:v>1.5717309145880576</c:v>
                </c:pt>
                <c:pt idx="96">
                  <c:v>1.5779050801607193</c:v>
                </c:pt>
                <c:pt idx="97">
                  <c:v>1.5840792457333812</c:v>
                </c:pt>
                <c:pt idx="98">
                  <c:v>1.5902534113060431</c:v>
                </c:pt>
                <c:pt idx="99">
                  <c:v>1.5964275768787048</c:v>
                </c:pt>
                <c:pt idx="100">
                  <c:v>1.6026017424513666</c:v>
                </c:pt>
              </c:numCache>
            </c:numRef>
          </c:val>
          <c:smooth val="0"/>
          <c:extLst>
            <c:ext xmlns:c16="http://schemas.microsoft.com/office/drawing/2014/chart" uri="{C3380CC4-5D6E-409C-BE32-E72D297353CC}">
              <c16:uniqueId val="{00000001-D77D-4460-B710-F2502F45B5AC}"/>
            </c:ext>
          </c:extLst>
        </c:ser>
        <c:ser>
          <c:idx val="2"/>
          <c:order val="2"/>
          <c:tx>
            <c:v>VIN-max</c:v>
          </c:tx>
          <c:spPr>
            <a:ln>
              <a:solidFill>
                <a:srgbClr val="FF0000"/>
              </a:solidFill>
              <a:prstDash val="solid"/>
            </a:ln>
          </c:spPr>
          <c:marker>
            <c:symbol val="none"/>
          </c:marker>
          <c:val>
            <c:numRef>
              <c:f>'Calculations - Single'!$AK$216:$AK$316</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1.2032533547241444</c:v>
                </c:pt>
                <c:pt idx="27">
                  <c:v>1.2074074074074075</c:v>
                </c:pt>
                <c:pt idx="28">
                  <c:v>1.211485219503992</c:v>
                </c:pt>
                <c:pt idx="29">
                  <c:v>1.2154908408170078</c:v>
                </c:pt>
                <c:pt idx="30">
                  <c:v>1.2194279748272874</c:v>
                </c:pt>
                <c:pt idx="31">
                  <c:v>1.2233000187899494</c:v>
                </c:pt>
                <c:pt idx="32">
                  <c:v>1.2271100980526595</c:v>
                </c:pt>
                <c:pt idx="33">
                  <c:v>1.2308610955818815</c:v>
                </c:pt>
                <c:pt idx="34">
                  <c:v>1.2345556774904216</c:v>
                </c:pt>
                <c:pt idx="35">
                  <c:v>1.2381963152088789</c:v>
                </c:pt>
                <c:pt idx="36">
                  <c:v>1.2417853048250189</c:v>
                </c:pt>
                <c:pt idx="37">
                  <c:v>1.2453247840210553</c:v>
                </c:pt>
                <c:pt idx="38">
                  <c:v>1.2488167469637361</c:v>
                </c:pt>
                <c:pt idx="39">
                  <c:v>1.252263057441777</c:v>
                </c:pt>
                <c:pt idx="40">
                  <c:v>1.2556654604963784</c:v>
                </c:pt>
                <c:pt idx="41">
                  <c:v>1.2590255927508498</c:v>
                </c:pt>
                <c:pt idx="42">
                  <c:v>1.2623449916128846</c:v>
                </c:pt>
                <c:pt idx="43">
                  <c:v>1.2656251034963097</c:v>
                </c:pt>
                <c:pt idx="44">
                  <c:v>1.2688672911870631</c:v>
                </c:pt>
                <c:pt idx="45">
                  <c:v>1.2720728404598087</c:v>
                </c:pt>
                <c:pt idx="46">
                  <c:v>1.2752429660363143</c:v>
                </c:pt>
                <c:pt idx="47">
                  <c:v>1.2783788169638992</c:v>
                </c:pt>
                <c:pt idx="48">
                  <c:v>1.2814814814814814</c:v>
                </c:pt>
                <c:pt idx="49">
                  <c:v>1.2845519914316579</c:v>
                </c:pt>
                <c:pt idx="50">
                  <c:v>1.2875913262695282</c:v>
                </c:pt>
                <c:pt idx="51">
                  <c:v>1.2906004167124192</c:v>
                </c:pt>
                <c:pt idx="52">
                  <c:v>1.2935801480690567</c:v>
                </c:pt>
                <c:pt idx="53">
                  <c:v>1.296531363281938</c:v>
                </c:pt>
                <c:pt idx="54">
                  <c:v>1.2994548657125398</c:v>
                </c:pt>
                <c:pt idx="55">
                  <c:v>1.3023514216954353</c:v>
                </c:pt>
                <c:pt idx="56">
                  <c:v>1.3052217628843388</c:v>
                </c:pt>
                <c:pt idx="57">
                  <c:v>1.3209510066652923</c:v>
                </c:pt>
                <c:pt idx="58">
                  <c:v>1.3268416351123118</c:v>
                </c:pt>
                <c:pt idx="59">
                  <c:v>1.3327322635593313</c:v>
                </c:pt>
                <c:pt idx="60">
                  <c:v>1.3386228920063505</c:v>
                </c:pt>
                <c:pt idx="61">
                  <c:v>1.34451352045337</c:v>
                </c:pt>
                <c:pt idx="62">
                  <c:v>1.3504041489003895</c:v>
                </c:pt>
                <c:pt idx="63">
                  <c:v>1.356294777347409</c:v>
                </c:pt>
                <c:pt idx="64">
                  <c:v>1.3621854057944283</c:v>
                </c:pt>
                <c:pt idx="65">
                  <c:v>1.3680760342414477</c:v>
                </c:pt>
                <c:pt idx="66">
                  <c:v>1.3739666626884672</c:v>
                </c:pt>
                <c:pt idx="67">
                  <c:v>1.3798572911354867</c:v>
                </c:pt>
                <c:pt idx="68">
                  <c:v>1.385747919582506</c:v>
                </c:pt>
                <c:pt idx="69">
                  <c:v>1.3916385480295252</c:v>
                </c:pt>
                <c:pt idx="70">
                  <c:v>1.3975291764765447</c:v>
                </c:pt>
                <c:pt idx="71">
                  <c:v>1.4034198049235642</c:v>
                </c:pt>
                <c:pt idx="72">
                  <c:v>1.4093104333705837</c:v>
                </c:pt>
                <c:pt idx="73">
                  <c:v>1.4152010618176032</c:v>
                </c:pt>
                <c:pt idx="74">
                  <c:v>1.4210916902646225</c:v>
                </c:pt>
                <c:pt idx="75">
                  <c:v>1.4269823187116422</c:v>
                </c:pt>
                <c:pt idx="76">
                  <c:v>1.4328729471586614</c:v>
                </c:pt>
                <c:pt idx="77">
                  <c:v>1.4387635756056809</c:v>
                </c:pt>
                <c:pt idx="78">
                  <c:v>1.4446542040527004</c:v>
                </c:pt>
                <c:pt idx="79">
                  <c:v>1.4505448324997199</c:v>
                </c:pt>
                <c:pt idx="80">
                  <c:v>1.4564354609467394</c:v>
                </c:pt>
                <c:pt idx="81">
                  <c:v>1.4623260893937586</c:v>
                </c:pt>
                <c:pt idx="82">
                  <c:v>1.4682167178407779</c:v>
                </c:pt>
                <c:pt idx="83">
                  <c:v>1.4741073462877974</c:v>
                </c:pt>
                <c:pt idx="84">
                  <c:v>1.4799979747348169</c:v>
                </c:pt>
                <c:pt idx="85">
                  <c:v>1.4858886031818361</c:v>
                </c:pt>
                <c:pt idx="86">
                  <c:v>1.4917792316288556</c:v>
                </c:pt>
                <c:pt idx="87">
                  <c:v>1.4976698600758751</c:v>
                </c:pt>
                <c:pt idx="88">
                  <c:v>1.5035604885228946</c:v>
                </c:pt>
                <c:pt idx="89">
                  <c:v>1.5094511169699141</c:v>
                </c:pt>
                <c:pt idx="90">
                  <c:v>1.5153417454169333</c:v>
                </c:pt>
                <c:pt idx="91">
                  <c:v>1.5212323738639528</c:v>
                </c:pt>
                <c:pt idx="92">
                  <c:v>1.5271230023109723</c:v>
                </c:pt>
                <c:pt idx="93">
                  <c:v>1.5330136307579916</c:v>
                </c:pt>
                <c:pt idx="94">
                  <c:v>1.5389042592050113</c:v>
                </c:pt>
                <c:pt idx="95">
                  <c:v>1.5447948876520305</c:v>
                </c:pt>
                <c:pt idx="96">
                  <c:v>1.55068551609905</c:v>
                </c:pt>
                <c:pt idx="97">
                  <c:v>1.5565761445460695</c:v>
                </c:pt>
                <c:pt idx="98">
                  <c:v>1.5624667729930888</c:v>
                </c:pt>
                <c:pt idx="99">
                  <c:v>1.5683574014401083</c:v>
                </c:pt>
                <c:pt idx="100">
                  <c:v>1.5742480298871278</c:v>
                </c:pt>
              </c:numCache>
            </c:numRef>
          </c:val>
          <c:smooth val="0"/>
          <c:extLst>
            <c:ext xmlns:c16="http://schemas.microsoft.com/office/drawing/2014/chart" uri="{C3380CC4-5D6E-409C-BE32-E72D297353CC}">
              <c16:uniqueId val="{00000002-D77D-4460-B710-F2502F45B5AC}"/>
            </c:ext>
          </c:extLst>
        </c:ser>
        <c:dLbls>
          <c:showLegendKey val="0"/>
          <c:showVal val="0"/>
          <c:showCatName val="0"/>
          <c:showSerName val="0"/>
          <c:showPercent val="0"/>
          <c:showBubbleSize val="0"/>
        </c:dLbls>
        <c:smooth val="0"/>
        <c:axId val="98196096"/>
        <c:axId val="98198272"/>
      </c:lineChart>
      <c:catAx>
        <c:axId val="98196096"/>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98198272"/>
        <c:crosses val="autoZero"/>
        <c:auto val="1"/>
        <c:lblAlgn val="ctr"/>
        <c:lblOffset val="100"/>
        <c:tickLblSkip val="20"/>
        <c:tickMarkSkip val="10"/>
        <c:noMultiLvlLbl val="0"/>
      </c:catAx>
      <c:valAx>
        <c:axId val="98198272"/>
        <c:scaling>
          <c:orientation val="minMax"/>
          <c:max val="2.2000000000000002"/>
          <c:min val="1"/>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COMP</a:t>
                </a:r>
                <a:r>
                  <a:rPr lang="en-US" sz="1200" b="1" baseline="0">
                    <a:solidFill>
                      <a:schemeClr val="tx1"/>
                    </a:solidFill>
                    <a:latin typeface="Arial" pitchFamily="34" charset="0"/>
                    <a:cs typeface="Arial" pitchFamily="34" charset="0"/>
                  </a:rPr>
                  <a:t> Voltage (V)</a:t>
                </a:r>
                <a:endParaRPr lang="en-US" sz="1200" b="1">
                  <a:solidFill>
                    <a:schemeClr val="tx1"/>
                  </a:solidFill>
                  <a:latin typeface="Arial" pitchFamily="34" charset="0"/>
                  <a:cs typeface="Arial" pitchFamily="34" charset="0"/>
                </a:endParaRPr>
              </a:p>
            </c:rich>
          </c:tx>
          <c:layout>
            <c:manualLayout>
              <c:xMode val="edge"/>
              <c:yMode val="edge"/>
              <c:x val="1.5939635452545176E-2"/>
              <c:y val="0.34603169988013316"/>
            </c:manualLayout>
          </c:layout>
          <c:overlay val="0"/>
          <c:spPr>
            <a:noFill/>
            <a:ln w="25400">
              <a:noFill/>
            </a:ln>
          </c:spPr>
        </c:title>
        <c:numFmt formatCode="#,##0.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98196096"/>
        <c:crossesAt val="0"/>
        <c:crossBetween val="between"/>
        <c:majorUnit val="0.2"/>
        <c:minorUnit val="0.1"/>
      </c:valAx>
      <c:spPr>
        <a:solidFill>
          <a:srgbClr val="FFFFFF"/>
        </a:solidFill>
        <a:ln w="25400">
          <a:noFill/>
        </a:ln>
      </c:spPr>
    </c:plotArea>
    <c:legend>
      <c:legendPos val="t"/>
      <c:layout>
        <c:manualLayout>
          <c:xMode val="edge"/>
          <c:yMode val="edge"/>
          <c:x val="0.50279342989103104"/>
          <c:y val="1.6951025877806759E-2"/>
          <c:w val="0.44417947756530435"/>
          <c:h val="8.979504932061760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000000"/>
                </a:solidFill>
                <a:latin typeface="Arial" pitchFamily="34" charset="0"/>
                <a:ea typeface="Calibri"/>
                <a:cs typeface="Arial" pitchFamily="34" charset="0"/>
              </a:defRPr>
            </a:pPr>
            <a:r>
              <a:rPr lang="en-US" sz="1800" b="1" i="0" baseline="0">
                <a:effectLst/>
                <a:sym typeface="Symbol"/>
              </a:rPr>
              <a:t></a:t>
            </a:r>
            <a:r>
              <a:rPr lang="en-US" sz="1800" b="1" i="0" baseline="0">
                <a:effectLst/>
              </a:rPr>
              <a:t>, V</a:t>
            </a:r>
            <a:r>
              <a:rPr lang="en-US" sz="1800" b="1" i="0" baseline="-25000">
                <a:effectLst/>
              </a:rPr>
              <a:t>IN</a:t>
            </a:r>
            <a:r>
              <a:rPr lang="en-US" sz="1800" b="1" i="0" baseline="0">
                <a:effectLst/>
              </a:rPr>
              <a:t> = V</a:t>
            </a:r>
            <a:r>
              <a:rPr lang="en-US" sz="1800" b="1" i="0" baseline="-25000">
                <a:effectLst/>
              </a:rPr>
              <a:t>IN(nom)</a:t>
            </a:r>
            <a:endParaRPr lang="en-US">
              <a:effectLst/>
            </a:endParaRPr>
          </a:p>
        </c:rich>
      </c:tx>
      <c:layout>
        <c:manualLayout>
          <c:xMode val="edge"/>
          <c:yMode val="edge"/>
          <c:x val="8.2586704916618195E-2"/>
          <c:y val="1.8363289746112718E-2"/>
        </c:manualLayout>
      </c:layout>
      <c:overlay val="0"/>
      <c:spPr>
        <a:noFill/>
        <a:ln w="25400">
          <a:noFill/>
        </a:ln>
      </c:spPr>
    </c:title>
    <c:autoTitleDeleted val="0"/>
    <c:plotArea>
      <c:layout>
        <c:manualLayout>
          <c:layoutTarget val="inner"/>
          <c:xMode val="edge"/>
          <c:yMode val="edge"/>
          <c:x val="7.6761884085804283E-2"/>
          <c:y val="0.12133523343001466"/>
          <c:w val="0.82579990228506128"/>
          <c:h val="0.7558980268938309"/>
        </c:manualLayout>
      </c:layout>
      <c:lineChart>
        <c:grouping val="standard"/>
        <c:varyColors val="0"/>
        <c:ser>
          <c:idx val="0"/>
          <c:order val="0"/>
          <c:tx>
            <c:v>Efficiency</c:v>
          </c:tx>
          <c:spPr>
            <a:ln w="38100">
              <a:solidFill>
                <a:srgbClr val="FF0000"/>
              </a:solidFill>
              <a:prstDash val="solid"/>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Single'!$CA$5:$CA$105</c:f>
              <c:numCache>
                <c:formatCode>0.00</c:formatCode>
                <c:ptCount val="101"/>
                <c:pt idx="0">
                  <c:v>6.1129372331228325E-5</c:v>
                </c:pt>
                <c:pt idx="1">
                  <c:v>68.741820272474669</c:v>
                </c:pt>
                <c:pt idx="2">
                  <c:v>78.304005185052105</c:v>
                </c:pt>
                <c:pt idx="3">
                  <c:v>82.107146728527141</c:v>
                </c:pt>
                <c:pt idx="4">
                  <c:v>84.146698604987947</c:v>
                </c:pt>
                <c:pt idx="5">
                  <c:v>85.416003454737265</c:v>
                </c:pt>
                <c:pt idx="6">
                  <c:v>86.280094503547133</c:v>
                </c:pt>
                <c:pt idx="7">
                  <c:v>86.904658590075073</c:v>
                </c:pt>
                <c:pt idx="8">
                  <c:v>87.37578016976461</c:v>
                </c:pt>
                <c:pt idx="9">
                  <c:v>87.742626873631309</c:v>
                </c:pt>
                <c:pt idx="10">
                  <c:v>88.035327114051626</c:v>
                </c:pt>
                <c:pt idx="11">
                  <c:v>88.273375395058736</c:v>
                </c:pt>
                <c:pt idx="12">
                  <c:v>88.469945639070559</c:v>
                </c:pt>
                <c:pt idx="13">
                  <c:v>88.634262314732808</c:v>
                </c:pt>
                <c:pt idx="14">
                  <c:v>88.772978474655417</c:v>
                </c:pt>
                <c:pt idx="15">
                  <c:v>88.891014323879602</c:v>
                </c:pt>
                <c:pt idx="16">
                  <c:v>88.992087634920154</c:v>
                </c:pt>
                <c:pt idx="17">
                  <c:v>89.07906051004592</c:v>
                </c:pt>
                <c:pt idx="18">
                  <c:v>89.154172638967225</c:v>
                </c:pt>
                <c:pt idx="19">
                  <c:v>89.219202161275248</c:v>
                </c:pt>
                <c:pt idx="20">
                  <c:v>89.275579062848323</c:v>
                </c:pt>
                <c:pt idx="21">
                  <c:v>89.324466683954157</c:v>
                </c:pt>
                <c:pt idx="22">
                  <c:v>89.366821335132315</c:v>
                </c:pt>
                <c:pt idx="23">
                  <c:v>89.40343658890518</c:v>
                </c:pt>
                <c:pt idx="24">
                  <c:v>89.431228857482253</c:v>
                </c:pt>
                <c:pt idx="25">
                  <c:v>89.339864336609594</c:v>
                </c:pt>
                <c:pt idx="26">
                  <c:v>89.454393902376111</c:v>
                </c:pt>
                <c:pt idx="27">
                  <c:v>89.620544585162875</c:v>
                </c:pt>
                <c:pt idx="28">
                  <c:v>89.775951817570714</c:v>
                </c:pt>
                <c:pt idx="29">
                  <c:v>89.921643178902727</c:v>
                </c:pt>
                <c:pt idx="30">
                  <c:v>90.058517834637655</c:v>
                </c:pt>
                <c:pt idx="31">
                  <c:v>90.187366109164927</c:v>
                </c:pt>
                <c:pt idx="32">
                  <c:v>90.308885571003984</c:v>
                </c:pt>
                <c:pt idx="33">
                  <c:v>90.42369433642844</c:v>
                </c:pt>
                <c:pt idx="34">
                  <c:v>90.53234213840723</c:v>
                </c:pt>
                <c:pt idx="35">
                  <c:v>90.635319588011171</c:v>
                </c:pt>
                <c:pt idx="36">
                  <c:v>90.733065964428889</c:v>
                </c:pt>
                <c:pt idx="37">
                  <c:v>90.825975800007996</c:v>
                </c:pt>
                <c:pt idx="38">
                  <c:v>90.914404472892713</c:v>
                </c:pt>
                <c:pt idx="39">
                  <c:v>90.998672977943542</c:v>
                </c:pt>
                <c:pt idx="40">
                  <c:v>91.079072013813573</c:v>
                </c:pt>
                <c:pt idx="41">
                  <c:v>91.155865498184454</c:v>
                </c:pt>
                <c:pt idx="42">
                  <c:v>91.229293602638123</c:v>
                </c:pt>
                <c:pt idx="43">
                  <c:v>91.299575382256819</c:v>
                </c:pt>
                <c:pt idx="44">
                  <c:v>91.366911061894385</c:v>
                </c:pt>
                <c:pt idx="45">
                  <c:v>91.431484030451145</c:v>
                </c:pt>
                <c:pt idx="46">
                  <c:v>91.493462585878646</c:v>
                </c:pt>
                <c:pt idx="47">
                  <c:v>91.553001466627222</c:v>
                </c:pt>
                <c:pt idx="48">
                  <c:v>91.610243199507138</c:v>
                </c:pt>
                <c:pt idx="49">
                  <c:v>91.66531928921124</c:v>
                </c:pt>
                <c:pt idx="50">
                  <c:v>91.773088954711085</c:v>
                </c:pt>
                <c:pt idx="51">
                  <c:v>91.923677236541153</c:v>
                </c:pt>
                <c:pt idx="52">
                  <c:v>91.985342162398325</c:v>
                </c:pt>
                <c:pt idx="53">
                  <c:v>92.069629622039585</c:v>
                </c:pt>
                <c:pt idx="54">
                  <c:v>92.149323155442346</c:v>
                </c:pt>
                <c:pt idx="55">
                  <c:v>92.224710779304658</c:v>
                </c:pt>
                <c:pt idx="56">
                  <c:v>92.296057694583652</c:v>
                </c:pt>
                <c:pt idx="57">
                  <c:v>92.363608446304951</c:v>
                </c:pt>
                <c:pt idx="58">
                  <c:v>92.427588847346755</c:v>
                </c:pt>
                <c:pt idx="59">
                  <c:v>92.488207695264748</c:v>
                </c:pt>
                <c:pt idx="60">
                  <c:v>92.545658307260354</c:v>
                </c:pt>
                <c:pt idx="61">
                  <c:v>92.600119895023809</c:v>
                </c:pt>
                <c:pt idx="62">
                  <c:v>92.651758798304201</c:v>
                </c:pt>
                <c:pt idx="63">
                  <c:v>92.700729593599362</c:v>
                </c:pt>
                <c:pt idx="64">
                  <c:v>92.747176092247358</c:v>
                </c:pt>
                <c:pt idx="65">
                  <c:v>92.791232240389448</c:v>
                </c:pt>
                <c:pt idx="66">
                  <c:v>92.833022931713558</c:v>
                </c:pt>
                <c:pt idx="67">
                  <c:v>92.872664742540024</c:v>
                </c:pt>
                <c:pt idx="68">
                  <c:v>92.910266597647123</c:v>
                </c:pt>
                <c:pt idx="69">
                  <c:v>92.945930374224076</c:v>
                </c:pt>
                <c:pt idx="70">
                  <c:v>92.979751450463652</c:v>
                </c:pt>
                <c:pt idx="71">
                  <c:v>93.011819204543514</c:v>
                </c:pt>
                <c:pt idx="72">
                  <c:v>93.042217469081535</c:v>
                </c:pt>
                <c:pt idx="73">
                  <c:v>93.071024945569832</c:v>
                </c:pt>
                <c:pt idx="74">
                  <c:v>93.098315582785119</c:v>
                </c:pt>
                <c:pt idx="75">
                  <c:v>93.124158922727901</c:v>
                </c:pt>
                <c:pt idx="76">
                  <c:v>93.148620417252999</c:v>
                </c:pt>
                <c:pt idx="77">
                  <c:v>93.171761718210448</c:v>
                </c:pt>
                <c:pt idx="78">
                  <c:v>93.193640943613488</c:v>
                </c:pt>
                <c:pt idx="79">
                  <c:v>93.214312922083991</c:v>
                </c:pt>
                <c:pt idx="80">
                  <c:v>93.233829417589845</c:v>
                </c:pt>
                <c:pt idx="81">
                  <c:v>93.252239336280041</c:v>
                </c:pt>
                <c:pt idx="82">
                  <c:v>93.26958891703967</c:v>
                </c:pt>
                <c:pt idx="83">
                  <c:v>93.28592190722128</c:v>
                </c:pt>
                <c:pt idx="84">
                  <c:v>93.301279724865111</c:v>
                </c:pt>
                <c:pt idx="85">
                  <c:v>93.315701608590061</c:v>
                </c:pt>
                <c:pt idx="86">
                  <c:v>93.329224756221834</c:v>
                </c:pt>
                <c:pt idx="87">
                  <c:v>93.341884453121963</c:v>
                </c:pt>
                <c:pt idx="88">
                  <c:v>93.353714191088883</c:v>
                </c:pt>
                <c:pt idx="89">
                  <c:v>93.36474577862009</c:v>
                </c:pt>
                <c:pt idx="90">
                  <c:v>93.375009443250605</c:v>
                </c:pt>
                <c:pt idx="91">
                  <c:v>93.384533926616257</c:v>
                </c:pt>
                <c:pt idx="92">
                  <c:v>93.393346572831732</c:v>
                </c:pt>
                <c:pt idx="93">
                  <c:v>93.401473410719163</c:v>
                </c:pt>
                <c:pt idx="94">
                  <c:v>93.408939230375196</c:v>
                </c:pt>
                <c:pt idx="95">
                  <c:v>93.415767654521076</c:v>
                </c:pt>
                <c:pt idx="96">
                  <c:v>93.421981205041476</c:v>
                </c:pt>
                <c:pt idx="97">
                  <c:v>93.427601365081983</c:v>
                </c:pt>
                <c:pt idx="98">
                  <c:v>93.432648637043854</c:v>
                </c:pt>
                <c:pt idx="99">
                  <c:v>93.437142596785179</c:v>
                </c:pt>
                <c:pt idx="100">
                  <c:v>93.441101944311924</c:v>
                </c:pt>
              </c:numCache>
            </c:numRef>
          </c:val>
          <c:smooth val="0"/>
          <c:extLst>
            <c:ext xmlns:c16="http://schemas.microsoft.com/office/drawing/2014/chart" uri="{C3380CC4-5D6E-409C-BE32-E72D297353CC}">
              <c16:uniqueId val="{00000000-50F1-4598-96E6-936258566DA8}"/>
            </c:ext>
          </c:extLst>
        </c:ser>
        <c:dLbls>
          <c:showLegendKey val="0"/>
          <c:showVal val="0"/>
          <c:showCatName val="0"/>
          <c:showSerName val="0"/>
          <c:showPercent val="0"/>
          <c:showBubbleSize val="0"/>
        </c:dLbls>
        <c:marker val="1"/>
        <c:smooth val="0"/>
        <c:axId val="98455936"/>
        <c:axId val="98457856"/>
      </c:lineChart>
      <c:lineChart>
        <c:grouping val="standard"/>
        <c:varyColors val="0"/>
        <c:ser>
          <c:idx val="2"/>
          <c:order val="1"/>
          <c:tx>
            <c:strRef>
              <c:f>'Calculations - Single'!$BN$3</c:f>
              <c:strCache>
                <c:ptCount val="1"/>
                <c:pt idx="0">
                  <c:v>Flyback Diode Loss</c:v>
                </c:pt>
              </c:strCache>
            </c:strRef>
          </c:tx>
          <c:spPr>
            <a:ln w="38100">
              <a:solidFill>
                <a:srgbClr val="808000"/>
              </a:solidFill>
              <a:prstDash val="sys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Single'!$BQ$5:$BQ$105</c:f>
              <c:numCache>
                <c:formatCode>0.0</c:formatCode>
                <c:ptCount val="101"/>
                <c:pt idx="0">
                  <c:v>2.9999999999999999E-7</c:v>
                </c:pt>
                <c:pt idx="1">
                  <c:v>1.2</c:v>
                </c:pt>
                <c:pt idx="2">
                  <c:v>2.4</c:v>
                </c:pt>
                <c:pt idx="3">
                  <c:v>3.6</c:v>
                </c:pt>
                <c:pt idx="4">
                  <c:v>4.8</c:v>
                </c:pt>
                <c:pt idx="5">
                  <c:v>6.0000000000000009</c:v>
                </c:pt>
                <c:pt idx="6">
                  <c:v>7.2</c:v>
                </c:pt>
                <c:pt idx="7">
                  <c:v>8.4</c:v>
                </c:pt>
                <c:pt idx="8">
                  <c:v>9.6</c:v>
                </c:pt>
                <c:pt idx="9">
                  <c:v>10.799999999999999</c:v>
                </c:pt>
                <c:pt idx="10">
                  <c:v>12.000000000000002</c:v>
                </c:pt>
                <c:pt idx="11">
                  <c:v>13.200000000000001</c:v>
                </c:pt>
                <c:pt idx="12">
                  <c:v>14.4</c:v>
                </c:pt>
                <c:pt idx="13">
                  <c:v>15.600000000000001</c:v>
                </c:pt>
                <c:pt idx="14">
                  <c:v>16.8</c:v>
                </c:pt>
                <c:pt idx="15">
                  <c:v>18</c:v>
                </c:pt>
                <c:pt idx="16">
                  <c:v>19.2</c:v>
                </c:pt>
                <c:pt idx="17">
                  <c:v>20.400000000000002</c:v>
                </c:pt>
                <c:pt idx="18">
                  <c:v>21.599999999999998</c:v>
                </c:pt>
                <c:pt idx="19">
                  <c:v>22.800000000000004</c:v>
                </c:pt>
                <c:pt idx="20">
                  <c:v>24.000000000000004</c:v>
                </c:pt>
                <c:pt idx="21">
                  <c:v>25.2</c:v>
                </c:pt>
                <c:pt idx="22">
                  <c:v>26.400000000000002</c:v>
                </c:pt>
                <c:pt idx="23">
                  <c:v>27.6</c:v>
                </c:pt>
                <c:pt idx="24">
                  <c:v>28.8</c:v>
                </c:pt>
                <c:pt idx="25">
                  <c:v>30</c:v>
                </c:pt>
                <c:pt idx="26">
                  <c:v>31.200000000000003</c:v>
                </c:pt>
                <c:pt idx="27">
                  <c:v>32.400000000000006</c:v>
                </c:pt>
                <c:pt idx="28">
                  <c:v>33.6</c:v>
                </c:pt>
                <c:pt idx="29">
                  <c:v>34.799999999999997</c:v>
                </c:pt>
                <c:pt idx="30">
                  <c:v>36</c:v>
                </c:pt>
                <c:pt idx="31">
                  <c:v>37.199999999999996</c:v>
                </c:pt>
                <c:pt idx="32">
                  <c:v>38.4</c:v>
                </c:pt>
                <c:pt idx="33">
                  <c:v>39.6</c:v>
                </c:pt>
                <c:pt idx="34">
                  <c:v>40.800000000000004</c:v>
                </c:pt>
                <c:pt idx="35">
                  <c:v>41.999999999999993</c:v>
                </c:pt>
                <c:pt idx="36">
                  <c:v>43.199999999999996</c:v>
                </c:pt>
                <c:pt idx="37">
                  <c:v>44.399999999999991</c:v>
                </c:pt>
                <c:pt idx="38">
                  <c:v>45.600000000000009</c:v>
                </c:pt>
                <c:pt idx="39">
                  <c:v>46.800000000000011</c:v>
                </c:pt>
                <c:pt idx="40">
                  <c:v>48.000000000000007</c:v>
                </c:pt>
                <c:pt idx="41">
                  <c:v>49.2</c:v>
                </c:pt>
                <c:pt idx="42">
                  <c:v>50.4</c:v>
                </c:pt>
                <c:pt idx="43">
                  <c:v>51.6</c:v>
                </c:pt>
                <c:pt idx="44">
                  <c:v>52.800000000000004</c:v>
                </c:pt>
                <c:pt idx="45">
                  <c:v>54.000000000000007</c:v>
                </c:pt>
                <c:pt idx="46">
                  <c:v>55.2</c:v>
                </c:pt>
                <c:pt idx="47">
                  <c:v>56.4</c:v>
                </c:pt>
                <c:pt idx="48">
                  <c:v>57.6</c:v>
                </c:pt>
                <c:pt idx="49">
                  <c:v>58.8</c:v>
                </c:pt>
                <c:pt idx="50">
                  <c:v>60</c:v>
                </c:pt>
                <c:pt idx="51">
                  <c:v>61.2</c:v>
                </c:pt>
                <c:pt idx="52">
                  <c:v>62.400000000000006</c:v>
                </c:pt>
                <c:pt idx="53">
                  <c:v>63.6</c:v>
                </c:pt>
                <c:pt idx="54">
                  <c:v>64.800000000000011</c:v>
                </c:pt>
                <c:pt idx="55">
                  <c:v>66</c:v>
                </c:pt>
                <c:pt idx="56">
                  <c:v>67.2</c:v>
                </c:pt>
                <c:pt idx="57">
                  <c:v>68.399999999999991</c:v>
                </c:pt>
                <c:pt idx="58">
                  <c:v>69.599999999999994</c:v>
                </c:pt>
                <c:pt idx="59">
                  <c:v>70.799999999999983</c:v>
                </c:pt>
                <c:pt idx="60">
                  <c:v>72</c:v>
                </c:pt>
                <c:pt idx="61">
                  <c:v>73.2</c:v>
                </c:pt>
                <c:pt idx="62">
                  <c:v>74.399999999999991</c:v>
                </c:pt>
                <c:pt idx="63">
                  <c:v>75.599999999999994</c:v>
                </c:pt>
                <c:pt idx="64">
                  <c:v>76.8</c:v>
                </c:pt>
                <c:pt idx="65">
                  <c:v>78</c:v>
                </c:pt>
                <c:pt idx="66">
                  <c:v>79.2</c:v>
                </c:pt>
                <c:pt idx="67">
                  <c:v>80.400000000000006</c:v>
                </c:pt>
                <c:pt idx="68">
                  <c:v>81.600000000000009</c:v>
                </c:pt>
                <c:pt idx="69">
                  <c:v>82.799999999999983</c:v>
                </c:pt>
                <c:pt idx="70">
                  <c:v>83.999999999999986</c:v>
                </c:pt>
                <c:pt idx="71">
                  <c:v>85.199999999999989</c:v>
                </c:pt>
                <c:pt idx="72">
                  <c:v>86.399999999999991</c:v>
                </c:pt>
                <c:pt idx="73">
                  <c:v>87.6</c:v>
                </c:pt>
                <c:pt idx="74">
                  <c:v>88.799999999999983</c:v>
                </c:pt>
                <c:pt idx="75">
                  <c:v>90.000000000000014</c:v>
                </c:pt>
                <c:pt idx="76">
                  <c:v>91.200000000000017</c:v>
                </c:pt>
                <c:pt idx="77">
                  <c:v>92.4</c:v>
                </c:pt>
                <c:pt idx="78">
                  <c:v>93.600000000000023</c:v>
                </c:pt>
                <c:pt idx="79">
                  <c:v>94.800000000000011</c:v>
                </c:pt>
                <c:pt idx="80">
                  <c:v>96.000000000000014</c:v>
                </c:pt>
                <c:pt idx="81">
                  <c:v>97.200000000000017</c:v>
                </c:pt>
                <c:pt idx="82">
                  <c:v>98.4</c:v>
                </c:pt>
                <c:pt idx="83">
                  <c:v>99.600000000000009</c:v>
                </c:pt>
                <c:pt idx="84">
                  <c:v>100.8</c:v>
                </c:pt>
                <c:pt idx="85">
                  <c:v>102.00000000000001</c:v>
                </c:pt>
                <c:pt idx="86">
                  <c:v>103.2</c:v>
                </c:pt>
                <c:pt idx="87">
                  <c:v>104.4</c:v>
                </c:pt>
                <c:pt idx="88">
                  <c:v>105.60000000000001</c:v>
                </c:pt>
                <c:pt idx="89">
                  <c:v>106.80000000000001</c:v>
                </c:pt>
                <c:pt idx="90">
                  <c:v>108.00000000000001</c:v>
                </c:pt>
                <c:pt idx="91">
                  <c:v>109.2</c:v>
                </c:pt>
                <c:pt idx="92">
                  <c:v>110.4</c:v>
                </c:pt>
                <c:pt idx="93">
                  <c:v>111.60000000000002</c:v>
                </c:pt>
                <c:pt idx="94">
                  <c:v>112.8</c:v>
                </c:pt>
                <c:pt idx="95">
                  <c:v>113.99999999999999</c:v>
                </c:pt>
                <c:pt idx="96">
                  <c:v>115.2</c:v>
                </c:pt>
                <c:pt idx="97">
                  <c:v>116.4</c:v>
                </c:pt>
                <c:pt idx="98">
                  <c:v>117.6</c:v>
                </c:pt>
                <c:pt idx="99">
                  <c:v>118.8</c:v>
                </c:pt>
                <c:pt idx="100">
                  <c:v>120</c:v>
                </c:pt>
              </c:numCache>
            </c:numRef>
          </c:val>
          <c:smooth val="0"/>
          <c:extLst>
            <c:ext xmlns:c16="http://schemas.microsoft.com/office/drawing/2014/chart" uri="{C3380CC4-5D6E-409C-BE32-E72D297353CC}">
              <c16:uniqueId val="{00000001-50F1-4598-96E6-936258566DA8}"/>
            </c:ext>
          </c:extLst>
        </c:ser>
        <c:ser>
          <c:idx val="3"/>
          <c:order val="2"/>
          <c:tx>
            <c:strRef>
              <c:f>'Calculations - Single'!$BG$3</c:f>
              <c:strCache>
                <c:ptCount val="1"/>
                <c:pt idx="0">
                  <c:v>IC Loss</c:v>
                </c:pt>
              </c:strCache>
            </c:strRef>
          </c:tx>
          <c:spPr>
            <a:ln w="38100">
              <a:solidFill>
                <a:srgbClr val="800080"/>
              </a:solidFill>
              <a:prstDash val="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Single'!$BM$5:$BM$105</c:f>
              <c:numCache>
                <c:formatCode>0.0</c:formatCode>
                <c:ptCount val="101"/>
                <c:pt idx="0">
                  <c:v>9.4159133352261968</c:v>
                </c:pt>
                <c:pt idx="1">
                  <c:v>10.366980396046998</c:v>
                </c:pt>
                <c:pt idx="2">
                  <c:v>13.774287007203034</c:v>
                </c:pt>
                <c:pt idx="3">
                  <c:v>17.181919880322532</c:v>
                </c:pt>
                <c:pt idx="4">
                  <c:v>20.589879062268874</c:v>
                </c:pt>
                <c:pt idx="5">
                  <c:v>23.998164599914443</c:v>
                </c:pt>
                <c:pt idx="6">
                  <c:v>27.406776540140573</c:v>
                </c:pt>
                <c:pt idx="7">
                  <c:v>30.81571492983759</c:v>
                </c:pt>
                <c:pt idx="8">
                  <c:v>34.22497981590481</c:v>
                </c:pt>
                <c:pt idx="9">
                  <c:v>37.634571245250513</c:v>
                </c:pt>
                <c:pt idx="10">
                  <c:v>41.044489264792013</c:v>
                </c:pt>
                <c:pt idx="11">
                  <c:v>44.454733921455521</c:v>
                </c:pt>
                <c:pt idx="12">
                  <c:v>47.865305262176335</c:v>
                </c:pt>
                <c:pt idx="13">
                  <c:v>51.276203333898678</c:v>
                </c:pt>
                <c:pt idx="14">
                  <c:v>54.687428183575825</c:v>
                </c:pt>
                <c:pt idx="15">
                  <c:v>58.09897985816999</c:v>
                </c:pt>
                <c:pt idx="16">
                  <c:v>61.510858404652438</c:v>
                </c:pt>
                <c:pt idx="17">
                  <c:v>64.923063870003375</c:v>
                </c:pt>
                <c:pt idx="18">
                  <c:v>68.335596301212092</c:v>
                </c:pt>
                <c:pt idx="19">
                  <c:v>71.748455745276843</c:v>
                </c:pt>
                <c:pt idx="20">
                  <c:v>75.161642249204846</c:v>
                </c:pt>
                <c:pt idx="21">
                  <c:v>78.575155860012387</c:v>
                </c:pt>
                <c:pt idx="22">
                  <c:v>81.988996624724749</c:v>
                </c:pt>
                <c:pt idx="23">
                  <c:v>85.403164590376221</c:v>
                </c:pt>
                <c:pt idx="24">
                  <c:v>88.847504492238301</c:v>
                </c:pt>
                <c:pt idx="25">
                  <c:v>93.24522995969555</c:v>
                </c:pt>
                <c:pt idx="26">
                  <c:v>95.020479340358349</c:v>
                </c:pt>
                <c:pt idx="27">
                  <c:v>95.991308335738523</c:v>
                </c:pt>
                <c:pt idx="28">
                  <c:v>96.953265927025583</c:v>
                </c:pt>
                <c:pt idx="29">
                  <c:v>97.906989490120665</c:v>
                </c:pt>
                <c:pt idx="30">
                  <c:v>98.853059442065486</c:v>
                </c:pt>
                <c:pt idx="31">
                  <c:v>99.792005965996765</c:v>
                </c:pt>
                <c:pt idx="32">
                  <c:v>100.72431475654605</c:v>
                </c:pt>
                <c:pt idx="33">
                  <c:v>101.65043195401741</c:v>
                </c:pt>
                <c:pt idx="34">
                  <c:v>102.57076840258364</c:v>
                </c:pt>
                <c:pt idx="35">
                  <c:v>103.48570334192836</c:v>
                </c:pt>
                <c:pt idx="36">
                  <c:v>104.39558762146436</c:v>
                </c:pt>
                <c:pt idx="37">
                  <c:v>105.30074651018178</c:v>
                </c:pt>
                <c:pt idx="38">
                  <c:v>106.20148216235323</c:v>
                </c:pt>
                <c:pt idx="39">
                  <c:v>107.09807578902381</c:v>
                </c:pt>
                <c:pt idx="40">
                  <c:v>107.99078957689397</c:v>
                </c:pt>
                <c:pt idx="41">
                  <c:v>108.87986838943785</c:v>
                </c:pt>
                <c:pt idx="42">
                  <c:v>109.76554127957439</c:v>
                </c:pt>
                <c:pt idx="43">
                  <c:v>110.64802283866578</c:v>
                </c:pt>
                <c:pt idx="44">
                  <c:v>111.5275144028691</c:v>
                </c:pt>
                <c:pt idx="45">
                  <c:v>112.40420513475615</c:v>
                </c:pt>
                <c:pt idx="46">
                  <c:v>113.27827299552386</c:v>
                </c:pt>
                <c:pt idx="47">
                  <c:v>114.14988562094848</c:v>
                </c:pt>
                <c:pt idx="48">
                  <c:v>115.01920111241313</c:v>
                </c:pt>
                <c:pt idx="49">
                  <c:v>115.88636875280049</c:v>
                </c:pt>
                <c:pt idx="50">
                  <c:v>115.59214613453827</c:v>
                </c:pt>
                <c:pt idx="51">
                  <c:v>114.29156704223867</c:v>
                </c:pt>
                <c:pt idx="52">
                  <c:v>114.29698543601471</c:v>
                </c:pt>
                <c:pt idx="53">
                  <c:v>113.92495304740693</c:v>
                </c:pt>
                <c:pt idx="54">
                  <c:v>113.59175910770843</c:v>
                </c:pt>
                <c:pt idx="55">
                  <c:v>113.29575991280247</c:v>
                </c:pt>
                <c:pt idx="56">
                  <c:v>113.03542987426948</c:v>
                </c:pt>
                <c:pt idx="57">
                  <c:v>112.80935117197991</c:v>
                </c:pt>
                <c:pt idx="58">
                  <c:v>112.61620447715087</c:v>
                </c:pt>
                <c:pt idx="59">
                  <c:v>112.45476061886323</c:v>
                </c:pt>
                <c:pt idx="60">
                  <c:v>112.32387308396974</c:v>
                </c:pt>
                <c:pt idx="61">
                  <c:v>112.22247125475975</c:v>
                </c:pt>
                <c:pt idx="62">
                  <c:v>112.14955430108652</c:v>
                </c:pt>
                <c:pt idx="63">
                  <c:v>112.10418565423967</c:v>
                </c:pt>
                <c:pt idx="64">
                  <c:v>112.08548799893481</c:v>
                </c:pt>
                <c:pt idx="65">
                  <c:v>112.09263872762503</c:v>
                </c:pt>
                <c:pt idx="66">
                  <c:v>112.12486580809954</c:v>
                </c:pt>
                <c:pt idx="67">
                  <c:v>112.18144402119192</c:v>
                </c:pt>
                <c:pt idx="68">
                  <c:v>112.26169153049878</c:v>
                </c:pt>
                <c:pt idx="69">
                  <c:v>112.36496675042747</c:v>
                </c:pt>
                <c:pt idx="70">
                  <c:v>112.49066548274087</c:v>
                </c:pt>
                <c:pt idx="71">
                  <c:v>112.63821829512813</c:v>
                </c:pt>
                <c:pt idx="72">
                  <c:v>112.80708811827211</c:v>
                </c:pt>
                <c:pt idx="73">
                  <c:v>112.99676804046211</c:v>
                </c:pt>
                <c:pt idx="74">
                  <c:v>113.20677928106663</c:v>
                </c:pt>
                <c:pt idx="75">
                  <c:v>113.43666932617241</c:v>
                </c:pt>
                <c:pt idx="76">
                  <c:v>113.68601021145464</c:v>
                </c:pt>
                <c:pt idx="77">
                  <c:v>113.95439693889435</c:v>
                </c:pt>
                <c:pt idx="78">
                  <c:v>114.24144601533156</c:v>
                </c:pt>
                <c:pt idx="79">
                  <c:v>114.54679410205956</c:v>
                </c:pt>
                <c:pt idx="80">
                  <c:v>114.87009676574463</c:v>
                </c:pt>
                <c:pt idx="81">
                  <c:v>115.21102732191598</c:v>
                </c:pt>
                <c:pt idx="82">
                  <c:v>115.56927576312314</c:v>
                </c:pt>
                <c:pt idx="83">
                  <c:v>115.94454776462227</c:v>
                </c:pt>
                <c:pt idx="84">
                  <c:v>116.33656376113034</c:v>
                </c:pt>
                <c:pt idx="85">
                  <c:v>116.74505808879513</c:v>
                </c:pt>
                <c:pt idx="86">
                  <c:v>117.16977818707481</c:v>
                </c:pt>
                <c:pt idx="87">
                  <c:v>117.61048385570538</c:v>
                </c:pt>
                <c:pt idx="88">
                  <c:v>118.06694656237656</c:v>
                </c:pt>
                <c:pt idx="89">
                  <c:v>118.53894879712742</c:v>
                </c:pt>
                <c:pt idx="90">
                  <c:v>119.02628346982877</c:v>
                </c:pt>
                <c:pt idx="91">
                  <c:v>119.52875334743936</c:v>
                </c:pt>
                <c:pt idx="92">
                  <c:v>120.04617052800921</c:v>
                </c:pt>
                <c:pt idx="93">
                  <c:v>120.57835594866538</c:v>
                </c:pt>
                <c:pt idx="94">
                  <c:v>121.12513892505051</c:v>
                </c:pt>
                <c:pt idx="95">
                  <c:v>121.68635671989648</c:v>
                </c:pt>
                <c:pt idx="96">
                  <c:v>122.2618541386103</c:v>
                </c:pt>
                <c:pt idx="97">
                  <c:v>122.85148314992252</c:v>
                </c:pt>
                <c:pt idx="98">
                  <c:v>123.45510252980974</c:v>
                </c:pt>
                <c:pt idx="99">
                  <c:v>124.07257752704534</c:v>
                </c:pt>
                <c:pt idx="100">
                  <c:v>124.70377954886541</c:v>
                </c:pt>
              </c:numCache>
            </c:numRef>
          </c:val>
          <c:smooth val="0"/>
          <c:extLst>
            <c:ext xmlns:c16="http://schemas.microsoft.com/office/drawing/2014/chart" uri="{C3380CC4-5D6E-409C-BE32-E72D297353CC}">
              <c16:uniqueId val="{00000002-50F1-4598-96E6-936258566DA8}"/>
            </c:ext>
          </c:extLst>
        </c:ser>
        <c:ser>
          <c:idx val="1"/>
          <c:order val="3"/>
          <c:tx>
            <c:strRef>
              <c:f>'Calculations - Single'!$BR$3</c:f>
              <c:strCache>
                <c:ptCount val="1"/>
                <c:pt idx="0">
                  <c:v>Transformer Loss</c:v>
                </c:pt>
              </c:strCache>
            </c:strRef>
          </c:tx>
          <c:spPr>
            <a:ln w="38100">
              <a:solidFill>
                <a:srgbClr val="002060"/>
              </a:solidFill>
              <a:prstDash val="sysDot"/>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Single'!$BW$5:$BW$105</c:f>
              <c:numCache>
                <c:formatCode>0.0</c:formatCode>
                <c:ptCount val="101"/>
                <c:pt idx="0">
                  <c:v>10.214572016505334</c:v>
                </c:pt>
                <c:pt idx="1">
                  <c:v>10.259509228086475</c:v>
                </c:pt>
                <c:pt idx="2">
                  <c:v>10.424805814585307</c:v>
                </c:pt>
                <c:pt idx="3">
                  <c:v>10.59867211139616</c:v>
                </c:pt>
                <c:pt idx="4">
                  <c:v>10.783065548797369</c:v>
                </c:pt>
                <c:pt idx="5">
                  <c:v>10.979626789234576</c:v>
                </c:pt>
                <c:pt idx="6">
                  <c:v>11.189798043073134</c:v>
                </c:pt>
                <c:pt idx="7">
                  <c:v>11.414881693175694</c:v>
                </c:pt>
                <c:pt idx="8">
                  <c:v>11.656074606632778</c:v>
                </c:pt>
                <c:pt idx="9">
                  <c:v>11.914490314275284</c:v>
                </c:pt>
                <c:pt idx="10">
                  <c:v>12.191174343465898</c:v>
                </c:pt>
                <c:pt idx="11">
                  <c:v>12.487115347351159</c:v>
                </c:pt>
                <c:pt idx="12">
                  <c:v>12.803253488722177</c:v>
                </c:pt>
                <c:pt idx="13">
                  <c:v>13.140486943534247</c:v>
                </c:pt>
                <c:pt idx="14">
                  <c:v>13.499677066987779</c:v>
                </c:pt>
                <c:pt idx="15">
                  <c:v>13.881652578577754</c:v>
                </c:pt>
                <c:pt idx="16">
                  <c:v>14.287213008878096</c:v>
                </c:pt>
                <c:pt idx="17">
                  <c:v>14.717131578595188</c:v>
                </c:pt>
                <c:pt idx="18">
                  <c:v>15.172157632859697</c:v>
                </c:pt>
                <c:pt idx="19">
                  <c:v>15.653018721444024</c:v>
                </c:pt>
                <c:pt idx="20">
                  <c:v>16.160422393106977</c:v>
                </c:pt>
                <c:pt idx="21">
                  <c:v>16.695057756244733</c:v>
                </c:pt>
                <c:pt idx="22">
                  <c:v>17.257596846380661</c:v>
                </c:pt>
                <c:pt idx="23">
                  <c:v>17.848695832408218</c:v>
                </c:pt>
                <c:pt idx="24">
                  <c:v>18.493131298229184</c:v>
                </c:pt>
                <c:pt idx="25">
                  <c:v>19.940154202864981</c:v>
                </c:pt>
                <c:pt idx="26">
                  <c:v>20.903835471918665</c:v>
                </c:pt>
                <c:pt idx="27">
                  <c:v>21.705684266735918</c:v>
                </c:pt>
                <c:pt idx="28">
                  <c:v>22.506885249178168</c:v>
                </c:pt>
                <c:pt idx="29">
                  <c:v>23.307427050911578</c:v>
                </c:pt>
                <c:pt idx="30">
                  <c:v>24.107299470434377</c:v>
                </c:pt>
                <c:pt idx="31">
                  <c:v>24.906493341422234</c:v>
                </c:pt>
                <c:pt idx="32">
                  <c:v>25.705000419028146</c:v>
                </c:pt>
                <c:pt idx="33">
                  <c:v>26.50281328124554</c:v>
                </c:pt>
                <c:pt idx="34">
                  <c:v>27.299925242979338</c:v>
                </c:pt>
                <c:pt idx="35">
                  <c:v>28.096330280892374</c:v>
                </c:pt>
                <c:pt idx="36">
                  <c:v>28.89202296743343</c:v>
                </c:pt>
                <c:pt idx="37">
                  <c:v>29.686998412723543</c:v>
                </c:pt>
                <c:pt idx="38">
                  <c:v>30.481252213197774</c:v>
                </c:pt>
                <c:pt idx="39">
                  <c:v>31.274780406076598</c:v>
                </c:pt>
                <c:pt idx="40">
                  <c:v>32.067579428888173</c:v>
                </c:pt>
                <c:pt idx="41">
                  <c:v>32.859646083381691</c:v>
                </c:pt>
                <c:pt idx="42">
                  <c:v>33.650977503271918</c:v>
                </c:pt>
                <c:pt idx="43">
                  <c:v>34.441571125336537</c:v>
                </c:pt>
                <c:pt idx="44">
                  <c:v>35.231424663457368</c:v>
                </c:pt>
                <c:pt idx="45">
                  <c:v>36.020536085253262</c:v>
                </c:pt>
                <c:pt idx="46">
                  <c:v>36.808903591001609</c:v>
                </c:pt>
                <c:pt idx="47">
                  <c:v>37.59652559458565</c:v>
                </c:pt>
                <c:pt idx="48">
                  <c:v>38.383400706239826</c:v>
                </c:pt>
                <c:pt idx="49">
                  <c:v>39.169527716894827</c:v>
                </c:pt>
                <c:pt idx="50">
                  <c:v>39.553565245375374</c:v>
                </c:pt>
                <c:pt idx="51">
                  <c:v>39.587275746788123</c:v>
                </c:pt>
                <c:pt idx="52">
                  <c:v>40.77881551644645</c:v>
                </c:pt>
                <c:pt idx="53">
                  <c:v>41.601183598871415</c:v>
                </c:pt>
                <c:pt idx="54">
                  <c:v>42.434110082537572</c:v>
                </c:pt>
                <c:pt idx="55">
                  <c:v>43.277597804269639</c:v>
                </c:pt>
                <c:pt idx="56">
                  <c:v>44.131649654571419</c:v>
                </c:pt>
                <c:pt idx="57">
                  <c:v>44.996268577662313</c:v>
                </c:pt>
                <c:pt idx="58">
                  <c:v>45.871457571514554</c:v>
                </c:pt>
                <c:pt idx="59">
                  <c:v>46.757219687891137</c:v>
                </c:pt>
                <c:pt idx="60">
                  <c:v>47.653558032384346</c:v>
                </c:pt>
                <c:pt idx="61">
                  <c:v>48.560475764455028</c:v>
                </c:pt>
                <c:pt idx="62">
                  <c:v>49.477976097472592</c:v>
                </c:pt>
                <c:pt idx="63">
                  <c:v>50.4060622987557</c:v>
                </c:pt>
                <c:pt idx="64">
                  <c:v>51.344737689613481</c:v>
                </c:pt>
                <c:pt idx="65">
                  <c:v>52.294005645387784</c:v>
                </c:pt>
                <c:pt idx="66">
                  <c:v>53.253869595495701</c:v>
                </c:pt>
                <c:pt idx="67">
                  <c:v>54.224333023473108</c:v>
                </c:pt>
                <c:pt idx="68">
                  <c:v>55.205399467018736</c:v>
                </c:pt>
                <c:pt idx="69">
                  <c:v>56.197072518039086</c:v>
                </c:pt>
                <c:pt idx="70">
                  <c:v>57.199355822693839</c:v>
                </c:pt>
                <c:pt idx="71">
                  <c:v>58.212253081442164</c:v>
                </c:pt>
                <c:pt idx="72">
                  <c:v>59.235768049089494</c:v>
                </c:pt>
                <c:pt idx="73">
                  <c:v>60.269904534835312</c:v>
                </c:pt>
                <c:pt idx="74">
                  <c:v>61.314666402321421</c:v>
                </c:pt>
                <c:pt idx="75">
                  <c:v>62.370057569680959</c:v>
                </c:pt>
                <c:pt idx="76">
                  <c:v>63.436082009588027</c:v>
                </c:pt>
                <c:pt idx="77">
                  <c:v>64.512743749308328</c:v>
                </c:pt>
                <c:pt idx="78">
                  <c:v>65.60004687075002</c:v>
                </c:pt>
                <c:pt idx="79">
                  <c:v>66.697995510516066</c:v>
                </c:pt>
                <c:pt idx="80">
                  <c:v>67.806593859956109</c:v>
                </c:pt>
                <c:pt idx="81">
                  <c:v>68.925846165220378</c:v>
                </c:pt>
                <c:pt idx="82">
                  <c:v>70.055756727313209</c:v>
                </c:pt>
                <c:pt idx="83">
                  <c:v>71.196329902148079</c:v>
                </c:pt>
                <c:pt idx="84">
                  <c:v>72.347570100602795</c:v>
                </c:pt>
                <c:pt idx="85">
                  <c:v>73.509481788575698</c:v>
                </c:pt>
                <c:pt idx="86">
                  <c:v>74.682069487042469</c:v>
                </c:pt>
                <c:pt idx="87">
                  <c:v>75.865337772113733</c:v>
                </c:pt>
                <c:pt idx="88">
                  <c:v>77.0592912750934</c:v>
                </c:pt>
                <c:pt idx="89">
                  <c:v>78.263934682537496</c:v>
                </c:pt>
                <c:pt idx="90">
                  <c:v>79.479272736314044</c:v>
                </c:pt>
                <c:pt idx="91">
                  <c:v>80.70531023366344</c:v>
                </c:pt>
                <c:pt idx="92">
                  <c:v>81.942052027259678</c:v>
                </c:pt>
                <c:pt idx="93">
                  <c:v>83.189503025272046</c:v>
                </c:pt>
                <c:pt idx="94">
                  <c:v>84.447668191428235</c:v>
                </c:pt>
                <c:pt idx="95">
                  <c:v>85.716552545077178</c:v>
                </c:pt>
                <c:pt idx="96">
                  <c:v>86.996161161253369</c:v>
                </c:pt>
                <c:pt idx="97">
                  <c:v>88.286499170741749</c:v>
                </c:pt>
                <c:pt idx="98">
                  <c:v>89.587571760143121</c:v>
                </c:pt>
                <c:pt idx="99">
                  <c:v>90.899384171940596</c:v>
                </c:pt>
                <c:pt idx="100">
                  <c:v>92.221941704566518</c:v>
                </c:pt>
              </c:numCache>
            </c:numRef>
          </c:val>
          <c:smooth val="0"/>
          <c:extLst>
            <c:ext xmlns:c16="http://schemas.microsoft.com/office/drawing/2014/chart" uri="{C3380CC4-5D6E-409C-BE32-E72D297353CC}">
              <c16:uniqueId val="{00000003-50F1-4598-96E6-936258566DA8}"/>
            </c:ext>
          </c:extLst>
        </c:ser>
        <c:dLbls>
          <c:showLegendKey val="0"/>
          <c:showVal val="0"/>
          <c:showCatName val="0"/>
          <c:showSerName val="0"/>
          <c:showPercent val="0"/>
          <c:showBubbleSize val="0"/>
        </c:dLbls>
        <c:marker val="1"/>
        <c:smooth val="0"/>
        <c:axId val="98461952"/>
        <c:axId val="98460032"/>
      </c:lineChart>
      <c:catAx>
        <c:axId val="98455936"/>
        <c:scaling>
          <c:orientation val="minMax"/>
        </c:scaling>
        <c:delete val="0"/>
        <c:axPos val="b"/>
        <c:majorGridlines>
          <c:spPr>
            <a:ln w="15875">
              <a:solidFill>
                <a:srgbClr val="969696"/>
              </a:solidFill>
              <a:prstDash val="sysDash"/>
            </a:ln>
          </c:spPr>
        </c:majorGridlines>
        <c:minorGridlines/>
        <c:title>
          <c:tx>
            <c:rich>
              <a:bodyPr/>
              <a:lstStyle/>
              <a:p>
                <a:pPr>
                  <a:defRPr sz="1200" b="1" i="0" u="none" strike="noStrike" baseline="0">
                    <a:solidFill>
                      <a:srgbClr val="0000FF"/>
                    </a:solidFill>
                    <a:latin typeface="Arial" pitchFamily="34" charset="0"/>
                    <a:ea typeface="Calibri"/>
                    <a:cs typeface="Arial" pitchFamily="34" charset="0"/>
                  </a:defRPr>
                </a:pPr>
                <a:r>
                  <a:rPr lang="en-US" sz="1200">
                    <a:solidFill>
                      <a:srgbClr val="0000FF"/>
                    </a:solidFill>
                    <a:latin typeface="Arial" pitchFamily="34" charset="0"/>
                    <a:cs typeface="Arial" pitchFamily="34" charset="0"/>
                  </a:rPr>
                  <a:t>Load Current (mA)</a:t>
                </a:r>
              </a:p>
            </c:rich>
          </c:tx>
          <c:layout>
            <c:manualLayout>
              <c:xMode val="edge"/>
              <c:yMode val="edge"/>
              <c:x val="0.42471011396394504"/>
              <c:y val="0.93853771636955563"/>
            </c:manualLayout>
          </c:layout>
          <c:overlay val="0"/>
          <c:spPr>
            <a:noFill/>
            <a:ln w="25400">
              <a:noFill/>
            </a:ln>
          </c:spPr>
        </c:title>
        <c:numFmt formatCode="0" sourceLinked="1"/>
        <c:majorTickMark val="in"/>
        <c:minorTickMark val="in"/>
        <c:tickLblPos val="nextTo"/>
        <c:spPr>
          <a:ln w="3175">
            <a:solidFill>
              <a:srgbClr val="000000"/>
            </a:solidFill>
            <a:prstDash val="solid"/>
          </a:ln>
        </c:spPr>
        <c:txPr>
          <a:bodyPr rot="0" vert="horz"/>
          <a:lstStyle/>
          <a:p>
            <a:pPr>
              <a:defRPr sz="1100" b="1" i="0" u="none" strike="noStrike" baseline="0">
                <a:solidFill>
                  <a:srgbClr val="0000FF"/>
                </a:solidFill>
                <a:latin typeface="Arial" pitchFamily="34" charset="0"/>
                <a:ea typeface="Calibri"/>
                <a:cs typeface="Arial" pitchFamily="34" charset="0"/>
              </a:defRPr>
            </a:pPr>
            <a:endParaRPr lang="ja-JP"/>
          </a:p>
        </c:txPr>
        <c:crossAx val="98457856"/>
        <c:crosses val="autoZero"/>
        <c:auto val="1"/>
        <c:lblAlgn val="ctr"/>
        <c:lblOffset val="100"/>
        <c:tickLblSkip val="20"/>
        <c:tickMarkSkip val="20"/>
        <c:noMultiLvlLbl val="0"/>
      </c:catAx>
      <c:valAx>
        <c:axId val="98457856"/>
        <c:scaling>
          <c:orientation val="minMax"/>
          <c:max val="100"/>
          <c:min val="55"/>
        </c:scaling>
        <c:delete val="0"/>
        <c:axPos val="l"/>
        <c:majorGridlines>
          <c:spPr>
            <a:ln w="15875">
              <a:solidFill>
                <a:srgbClr val="808080"/>
              </a:solidFill>
              <a:prstDash val="solid"/>
            </a:ln>
          </c:spPr>
        </c:maj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200" b="1">
                    <a:solidFill>
                      <a:srgbClr val="FF0000"/>
                    </a:solidFill>
                    <a:latin typeface="Arial" pitchFamily="34" charset="0"/>
                    <a:cs typeface="Arial" pitchFamily="34" charset="0"/>
                  </a:rPr>
                  <a:t>Efficiency  (%)</a:t>
                </a:r>
              </a:p>
            </c:rich>
          </c:tx>
          <c:layout>
            <c:manualLayout>
              <c:xMode val="edge"/>
              <c:yMode val="edge"/>
              <c:x val="1.2871858674081443E-2"/>
              <c:y val="0.37638177915688309"/>
            </c:manualLayout>
          </c:layout>
          <c:overlay val="0"/>
          <c:spPr>
            <a:noFill/>
            <a:ln w="25400">
              <a:noFill/>
            </a:ln>
          </c:spPr>
        </c:title>
        <c:numFmt formatCode="General" sourceLinked="0"/>
        <c:majorTickMark val="in"/>
        <c:minorTickMark val="in"/>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98455936"/>
        <c:crossesAt val="0"/>
        <c:crossBetween val="between"/>
        <c:majorUnit val="5"/>
        <c:minorUnit val="2.5"/>
      </c:valAx>
      <c:valAx>
        <c:axId val="98460032"/>
        <c:scaling>
          <c:orientation val="minMax"/>
        </c:scaling>
        <c:delete val="0"/>
        <c:axPos val="r"/>
        <c:title>
          <c:tx>
            <c:rich>
              <a:bodyPr rot="-5400000" vert="horz"/>
              <a:lstStyle/>
              <a:p>
                <a:pPr>
                  <a:defRPr sz="1200" b="1"/>
                </a:pPr>
                <a:r>
                  <a:rPr lang="en-US" sz="1200" b="1"/>
                  <a:t>Power Loss (mW)</a:t>
                </a:r>
              </a:p>
            </c:rich>
          </c:tx>
          <c:layout>
            <c:manualLayout>
              <c:xMode val="edge"/>
              <c:yMode val="edge"/>
              <c:x val="0.95168474305601269"/>
              <c:y val="0.38117714045368295"/>
            </c:manualLayout>
          </c:layout>
          <c:overlay val="0"/>
        </c:title>
        <c:numFmt formatCode="General" sourceLinked="0"/>
        <c:majorTickMark val="out"/>
        <c:minorTickMark val="none"/>
        <c:tickLblPos val="nextTo"/>
        <c:txPr>
          <a:bodyPr/>
          <a:lstStyle/>
          <a:p>
            <a:pPr>
              <a:defRPr sz="1100" b="1">
                <a:solidFill>
                  <a:sysClr val="windowText" lastClr="000000"/>
                </a:solidFill>
              </a:defRPr>
            </a:pPr>
            <a:endParaRPr lang="ja-JP"/>
          </a:p>
        </c:txPr>
        <c:crossAx val="98461952"/>
        <c:crosses val="max"/>
        <c:crossBetween val="between"/>
      </c:valAx>
      <c:catAx>
        <c:axId val="98461952"/>
        <c:scaling>
          <c:orientation val="minMax"/>
        </c:scaling>
        <c:delete val="1"/>
        <c:axPos val="b"/>
        <c:numFmt formatCode="General" sourceLinked="1"/>
        <c:majorTickMark val="out"/>
        <c:minorTickMark val="none"/>
        <c:tickLblPos val="nextTo"/>
        <c:crossAx val="98460032"/>
        <c:crosses val="autoZero"/>
        <c:auto val="1"/>
        <c:lblAlgn val="ctr"/>
        <c:lblOffset val="100"/>
        <c:noMultiLvlLbl val="0"/>
      </c:catAx>
      <c:spPr>
        <a:noFill/>
        <a:ln w="25400">
          <a:noFill/>
        </a:ln>
      </c:spPr>
    </c:plotArea>
    <c:legend>
      <c:legendPos val="t"/>
      <c:layout>
        <c:manualLayout>
          <c:xMode val="edge"/>
          <c:yMode val="edge"/>
          <c:x val="0.40102557566231317"/>
          <c:y val="1.1892633038167682E-2"/>
          <c:w val="0.50550962619267337"/>
          <c:h val="8.9795049320617604E-2"/>
        </c:manualLayout>
      </c:layout>
      <c:overlay val="0"/>
      <c:spPr>
        <a:solidFill>
          <a:srgbClr val="FFFFFF"/>
        </a:solidFill>
        <a:ln w="25400">
          <a:noFill/>
        </a:ln>
      </c:spPr>
      <c:txPr>
        <a:bodyPr/>
        <a:lstStyle/>
        <a:p>
          <a:pPr>
            <a:defRPr sz="11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3.9892589721079133E-2"/>
          <c:w val="0.86047278973849184"/>
          <c:h val="0.83734080468357386"/>
        </c:manualLayout>
      </c:layout>
      <c:lineChart>
        <c:grouping val="standard"/>
        <c:varyColors val="0"/>
        <c:ser>
          <c:idx val="1"/>
          <c:order val="0"/>
          <c:tx>
            <c:v>VIN-min</c:v>
          </c:tx>
          <c:spPr>
            <a:ln>
              <a:solidFill>
                <a:srgbClr val="00B050"/>
              </a:solidFill>
              <a:prstDash val="sys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Single'!$AN$110:$AN$210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344.98355456637233</c:v>
                </c:pt>
                <c:pt idx="46">
                  <c:v>337.48391207579903</c:v>
                </c:pt>
                <c:pt idx="47">
                  <c:v>330.30340330822884</c:v>
                </c:pt>
                <c:pt idx="48">
                  <c:v>323.42208240597404</c:v>
                </c:pt>
                <c:pt idx="49">
                  <c:v>316.82163174462755</c:v>
                </c:pt>
                <c:pt idx="50">
                  <c:v>310.48519910973499</c:v>
                </c:pt>
                <c:pt idx="51">
                  <c:v>304.39725402915195</c:v>
                </c:pt>
                <c:pt idx="52">
                  <c:v>298.54346068243757</c:v>
                </c:pt>
                <c:pt idx="53">
                  <c:v>292.91056519786321</c:v>
                </c:pt>
                <c:pt idx="54">
                  <c:v>287.48629547197686</c:v>
                </c:pt>
                <c:pt idx="55">
                  <c:v>282.25927191794085</c:v>
                </c:pt>
                <c:pt idx="56">
                  <c:v>277.21892777654909</c:v>
                </c:pt>
                <c:pt idx="57">
                  <c:v>272.35543781555708</c:v>
                </c:pt>
                <c:pt idx="58">
                  <c:v>267.65965440494404</c:v>
                </c:pt>
                <c:pt idx="59">
                  <c:v>263.12305009299592</c:v>
                </c:pt>
                <c:pt idx="60">
                  <c:v>258.73766592477926</c:v>
                </c:pt>
                <c:pt idx="61">
                  <c:v>254.49606484404518</c:v>
                </c:pt>
                <c:pt idx="62">
                  <c:v>250.39128960462503</c:v>
                </c:pt>
                <c:pt idx="63">
                  <c:v>246.41682469026591</c:v>
                </c:pt>
                <c:pt idx="64">
                  <c:v>242.56656180448053</c:v>
                </c:pt>
                <c:pt idx="65">
                  <c:v>238.83476854595006</c:v>
                </c:pt>
                <c:pt idx="66">
                  <c:v>235.21605993161748</c:v>
                </c:pt>
                <c:pt idx="67">
                  <c:v>231.70537246995156</c:v>
                </c:pt>
                <c:pt idx="68">
                  <c:v>228.29794052186401</c:v>
                </c:pt>
                <c:pt idx="69">
                  <c:v>224.98927471719941</c:v>
                </c:pt>
                <c:pt idx="70">
                  <c:v>221.77514222123941</c:v>
                </c:pt>
                <c:pt idx="71">
                  <c:v>218.65154866882756</c:v>
                </c:pt>
                <c:pt idx="72">
                  <c:v>215.61472160398273</c:v>
                </c:pt>
                <c:pt idx="73">
                  <c:v>212.66109528064044</c:v>
                </c:pt>
                <c:pt idx="74">
                  <c:v>209.78729669576697</c:v>
                </c:pt>
                <c:pt idx="75">
                  <c:v>206.99013273982331</c:v>
                </c:pt>
                <c:pt idx="76">
                  <c:v>204.2665783616678</c:v>
                </c:pt>
                <c:pt idx="77">
                  <c:v>201.61376565567213</c:v>
                </c:pt>
                <c:pt idx="78">
                  <c:v>199.02897378829169</c:v>
                </c:pt>
                <c:pt idx="79">
                  <c:v>196.50961968970566</c:v>
                </c:pt>
                <c:pt idx="80">
                  <c:v>194.05324944358438</c:v>
                </c:pt>
                <c:pt idx="81">
                  <c:v>191.65753031465127</c:v>
                </c:pt>
                <c:pt idx="82">
                  <c:v>189.32024335959454</c:v>
                </c:pt>
                <c:pt idx="83">
                  <c:v>187.03927657212958</c:v>
                </c:pt>
                <c:pt idx="84">
                  <c:v>184.81261851769949</c:v>
                </c:pt>
                <c:pt idx="85">
                  <c:v>182.63835241749118</c:v>
                </c:pt>
                <c:pt idx="86">
                  <c:v>180.51465064519479</c:v>
                </c:pt>
                <c:pt idx="87">
                  <c:v>178.43976960329601</c:v>
                </c:pt>
                <c:pt idx="88">
                  <c:v>176.41204494871309</c:v>
                </c:pt>
                <c:pt idx="89">
                  <c:v>174.42988714030062</c:v>
                </c:pt>
                <c:pt idx="90">
                  <c:v>172.49177728318617</c:v>
                </c:pt>
                <c:pt idx="91">
                  <c:v>170.5962632471072</c:v>
                </c:pt>
                <c:pt idx="92">
                  <c:v>168.74195603789951</c:v>
                </c:pt>
                <c:pt idx="93">
                  <c:v>166.92752640308336</c:v>
                </c:pt>
                <c:pt idx="94">
                  <c:v>165.15170165411442</c:v>
                </c:pt>
                <c:pt idx="95">
                  <c:v>163.41326268933423</c:v>
                </c:pt>
                <c:pt idx="96">
                  <c:v>161.71104120298702</c:v>
                </c:pt>
                <c:pt idx="97">
                  <c:v>160.04391706687377</c:v>
                </c:pt>
                <c:pt idx="98">
                  <c:v>158.41081587231378</c:v>
                </c:pt>
                <c:pt idx="99">
                  <c:v>156.81070662107828</c:v>
                </c:pt>
                <c:pt idx="100">
                  <c:v>155.2425995548675</c:v>
                </c:pt>
              </c:numCache>
            </c:numRef>
          </c:val>
          <c:smooth val="0"/>
          <c:extLst>
            <c:ext xmlns:c16="http://schemas.microsoft.com/office/drawing/2014/chart" uri="{C3380CC4-5D6E-409C-BE32-E72D297353CC}">
              <c16:uniqueId val="{00000000-FE96-4AAD-8521-E0A3930F2A15}"/>
            </c:ext>
          </c:extLst>
        </c:ser>
        <c:ser>
          <c:idx val="0"/>
          <c:order val="1"/>
          <c:tx>
            <c:v>VIN-nom</c:v>
          </c:tx>
          <c:spPr>
            <a:ln w="28575">
              <a:solidFill>
                <a:srgbClr val="0000FF"/>
              </a:solidFill>
              <a:prstDash val="lgDash"/>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Single'!$AN$5:$AN$105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346.31735572324357</c:v>
                </c:pt>
                <c:pt idx="51">
                  <c:v>339.52681933651337</c:v>
                </c:pt>
                <c:pt idx="52">
                  <c:v>332.99745742619575</c:v>
                </c:pt>
                <c:pt idx="53">
                  <c:v>326.7144865313619</c:v>
                </c:pt>
                <c:pt idx="54">
                  <c:v>320.66421826226252</c:v>
                </c:pt>
                <c:pt idx="55">
                  <c:v>314.83395974840323</c:v>
                </c:pt>
                <c:pt idx="56">
                  <c:v>309.21192475289604</c:v>
                </c:pt>
                <c:pt idx="57">
                  <c:v>303.78715414319618</c:v>
                </c:pt>
                <c:pt idx="58">
                  <c:v>298.5494445890032</c:v>
                </c:pt>
                <c:pt idx="59">
                  <c:v>293.48928451122345</c:v>
                </c:pt>
                <c:pt idx="60">
                  <c:v>288.59779643603639</c:v>
                </c:pt>
                <c:pt idx="61">
                  <c:v>283.86668501905223</c:v>
                </c:pt>
                <c:pt idx="62">
                  <c:v>279.28819009939002</c:v>
                </c:pt>
                <c:pt idx="63">
                  <c:v>274.85504422479659</c:v>
                </c:pt>
                <c:pt idx="64">
                  <c:v>270.56043415878412</c:v>
                </c:pt>
                <c:pt idx="65">
                  <c:v>266.39796594095662</c:v>
                </c:pt>
                <c:pt idx="66">
                  <c:v>262.36163312366949</c:v>
                </c:pt>
                <c:pt idx="67">
                  <c:v>258.44578785316691</c:v>
                </c:pt>
                <c:pt idx="68">
                  <c:v>254.64511450238504</c:v>
                </c:pt>
                <c:pt idx="69">
                  <c:v>250.95460559655336</c:v>
                </c:pt>
                <c:pt idx="70">
                  <c:v>247.36953980231692</c:v>
                </c:pt>
                <c:pt idx="71">
                  <c:v>243.88546177693215</c:v>
                </c:pt>
                <c:pt idx="72">
                  <c:v>240.49816369669702</c:v>
                </c:pt>
                <c:pt idx="73">
                  <c:v>237.20366830359154</c:v>
                </c:pt>
                <c:pt idx="74">
                  <c:v>233.99821332651601</c:v>
                </c:pt>
                <c:pt idx="75">
                  <c:v>230.87823714882904</c:v>
                </c:pt>
                <c:pt idx="76">
                  <c:v>227.84036560739713</c:v>
                </c:pt>
                <c:pt idx="77">
                  <c:v>224.88139982028804</c:v>
                </c:pt>
                <c:pt idx="78">
                  <c:v>221.99830495079718</c:v>
                </c:pt>
                <c:pt idx="79">
                  <c:v>219.18819982483777</c:v>
                </c:pt>
                <c:pt idx="80">
                  <c:v>216.44834732702722</c:v>
                </c:pt>
                <c:pt idx="81">
                  <c:v>213.77614550817506</c:v>
                </c:pt>
                <c:pt idx="82">
                  <c:v>211.16911934344128</c:v>
                </c:pt>
                <c:pt idx="83">
                  <c:v>208.62491308629137</c:v>
                </c:pt>
                <c:pt idx="84">
                  <c:v>206.14128316859745</c:v>
                </c:pt>
                <c:pt idx="85">
                  <c:v>203.716091601908</c:v>
                </c:pt>
                <c:pt idx="86">
                  <c:v>201.34729983909514</c:v>
                </c:pt>
                <c:pt idx="87">
                  <c:v>199.03296305933543</c:v>
                </c:pt>
                <c:pt idx="88">
                  <c:v>196.77122484275205</c:v>
                </c:pt>
                <c:pt idx="89">
                  <c:v>194.56031220406948</c:v>
                </c:pt>
                <c:pt idx="90">
                  <c:v>192.39853095735756</c:v>
                </c:pt>
                <c:pt idx="91">
                  <c:v>190.28426138639759</c:v>
                </c:pt>
                <c:pt idx="92">
                  <c:v>188.21595419741502</c:v>
                </c:pt>
                <c:pt idx="93">
                  <c:v>186.19212673292668</c:v>
                </c:pt>
                <c:pt idx="94">
                  <c:v>184.21135942725724</c:v>
                </c:pt>
                <c:pt idx="95">
                  <c:v>182.27229248591769</c:v>
                </c:pt>
                <c:pt idx="96">
                  <c:v>180.37362277252276</c:v>
                </c:pt>
                <c:pt idx="97">
                  <c:v>178.51410088826992</c:v>
                </c:pt>
                <c:pt idx="98">
                  <c:v>176.6925284302263</c:v>
                </c:pt>
                <c:pt idx="99">
                  <c:v>174.9077554157796</c:v>
                </c:pt>
                <c:pt idx="100">
                  <c:v>173.15867786162178</c:v>
                </c:pt>
              </c:numCache>
            </c:numRef>
          </c:val>
          <c:smooth val="0"/>
          <c:extLst>
            <c:ext xmlns:c16="http://schemas.microsoft.com/office/drawing/2014/chart" uri="{C3380CC4-5D6E-409C-BE32-E72D297353CC}">
              <c16:uniqueId val="{00000001-FE96-4AAD-8521-E0A3930F2A15}"/>
            </c:ext>
          </c:extLst>
        </c:ser>
        <c:ser>
          <c:idx val="2"/>
          <c:order val="2"/>
          <c:tx>
            <c:v>VIN-max</c:v>
          </c:tx>
          <c:spPr>
            <a:ln>
              <a:solidFill>
                <a:srgbClr val="FF0000"/>
              </a:solidFill>
              <a:prstDash val="solid"/>
            </a:ln>
          </c:spPr>
          <c:marker>
            <c:symbol val="none"/>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Single'!$AN$216:$AN$316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350</c:v>
                </c:pt>
                <c:pt idx="38">
                  <c:v>350</c:v>
                </c:pt>
                <c:pt idx="39">
                  <c:v>350</c:v>
                </c:pt>
                <c:pt idx="40">
                  <c:v>350</c:v>
                </c:pt>
                <c:pt idx="41">
                  <c:v>350</c:v>
                </c:pt>
                <c:pt idx="42">
                  <c:v>350</c:v>
                </c:pt>
                <c:pt idx="43">
                  <c:v>350</c:v>
                </c:pt>
                <c:pt idx="44">
                  <c:v>350</c:v>
                </c:pt>
                <c:pt idx="45">
                  <c:v>350</c:v>
                </c:pt>
                <c:pt idx="46">
                  <c:v>350</c:v>
                </c:pt>
                <c:pt idx="47">
                  <c:v>350</c:v>
                </c:pt>
                <c:pt idx="48">
                  <c:v>350</c:v>
                </c:pt>
                <c:pt idx="49">
                  <c:v>350</c:v>
                </c:pt>
                <c:pt idx="50">
                  <c:v>350</c:v>
                </c:pt>
                <c:pt idx="51">
                  <c:v>350</c:v>
                </c:pt>
                <c:pt idx="52">
                  <c:v>350</c:v>
                </c:pt>
                <c:pt idx="53">
                  <c:v>350</c:v>
                </c:pt>
                <c:pt idx="54">
                  <c:v>350</c:v>
                </c:pt>
                <c:pt idx="55">
                  <c:v>345.87156140357638</c:v>
                </c:pt>
                <c:pt idx="56">
                  <c:v>339.69528352136973</c:v>
                </c:pt>
                <c:pt idx="57">
                  <c:v>333.73571714380188</c:v>
                </c:pt>
                <c:pt idx="58">
                  <c:v>327.98165305511566</c:v>
                </c:pt>
                <c:pt idx="59">
                  <c:v>322.42264198638486</c:v>
                </c:pt>
                <c:pt idx="60">
                  <c:v>317.04893128661183</c:v>
                </c:pt>
                <c:pt idx="61">
                  <c:v>311.85140782289687</c:v>
                </c:pt>
                <c:pt idx="62">
                  <c:v>306.82154640639845</c:v>
                </c:pt>
                <c:pt idx="63">
                  <c:v>301.95136313010647</c:v>
                </c:pt>
                <c:pt idx="64">
                  <c:v>297.23337308119858</c:v>
                </c:pt>
                <c:pt idx="65">
                  <c:v>292.66055195687238</c:v>
                </c:pt>
                <c:pt idx="66">
                  <c:v>288.22630116964706</c:v>
                </c:pt>
                <c:pt idx="67">
                  <c:v>283.9244160775628</c:v>
                </c:pt>
                <c:pt idx="68">
                  <c:v>279.74905701759855</c:v>
                </c:pt>
                <c:pt idx="69">
                  <c:v>275.69472285792335</c:v>
                </c:pt>
                <c:pt idx="70">
                  <c:v>271.75622681709581</c:v>
                </c:pt>
                <c:pt idx="71">
                  <c:v>267.92867432671426</c:v>
                </c:pt>
                <c:pt idx="72">
                  <c:v>264.20744273884316</c:v>
                </c:pt>
                <c:pt idx="73">
                  <c:v>260.58816270132485</c:v>
                </c:pt>
                <c:pt idx="74">
                  <c:v>257.0667010431988</c:v>
                </c:pt>
                <c:pt idx="75">
                  <c:v>253.63914502928941</c:v>
                </c:pt>
                <c:pt idx="76">
                  <c:v>250.30178785785139</c:v>
                </c:pt>
                <c:pt idx="77">
                  <c:v>247.0511152882689</c:v>
                </c:pt>
                <c:pt idx="78">
                  <c:v>243.88379329739362</c:v>
                </c:pt>
                <c:pt idx="79">
                  <c:v>240.79665667337602</c:v>
                </c:pt>
                <c:pt idx="80">
                  <c:v>237.78669846495876</c:v>
                </c:pt>
                <c:pt idx="81">
                  <c:v>234.85106021230499</c:v>
                </c:pt>
                <c:pt idx="82">
                  <c:v>231.98702289264281</c:v>
                </c:pt>
                <c:pt idx="83">
                  <c:v>229.19199852044227</c:v>
                </c:pt>
                <c:pt idx="84">
                  <c:v>226.46352234757987</c:v>
                </c:pt>
                <c:pt idx="85">
                  <c:v>223.7992456140789</c:v>
                </c:pt>
                <c:pt idx="86">
                  <c:v>221.1969288046129</c:v>
                </c:pt>
                <c:pt idx="87">
                  <c:v>218.65443537007707</c:v>
                </c:pt>
                <c:pt idx="88">
                  <c:v>216.16972587723529</c:v>
                </c:pt>
                <c:pt idx="89">
                  <c:v>213.74085255277197</c:v>
                </c:pt>
                <c:pt idx="90">
                  <c:v>211.36595419107454</c:v>
                </c:pt>
                <c:pt idx="91">
                  <c:v>209.043251397766</c:v>
                </c:pt>
                <c:pt idx="92">
                  <c:v>206.7710421434424</c:v>
                </c:pt>
                <c:pt idx="93">
                  <c:v>204.54769760426564</c:v>
                </c:pt>
                <c:pt idx="94">
                  <c:v>202.37165826805003</c:v>
                </c:pt>
                <c:pt idx="95">
                  <c:v>200.24143028628109</c:v>
                </c:pt>
                <c:pt idx="96">
                  <c:v>198.15558205413237</c:v>
                </c:pt>
                <c:pt idx="97">
                  <c:v>196.11274100202786</c:v>
                </c:pt>
                <c:pt idx="98">
                  <c:v>194.11159058363984</c:v>
                </c:pt>
                <c:pt idx="99">
                  <c:v>192.15086744643136</c:v>
                </c:pt>
                <c:pt idx="100">
                  <c:v>190.22935877196704</c:v>
                </c:pt>
              </c:numCache>
            </c:numRef>
          </c:val>
          <c:smooth val="0"/>
          <c:extLst>
            <c:ext xmlns:c16="http://schemas.microsoft.com/office/drawing/2014/chart" uri="{C3380CC4-5D6E-409C-BE32-E72D297353CC}">
              <c16:uniqueId val="{00000002-FE96-4AAD-8521-E0A3930F2A15}"/>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FE96-4AAD-8521-E0A3930F2A15}"/>
            </c:ext>
          </c:extLst>
        </c:ser>
        <c:ser>
          <c:idx val="4"/>
          <c:order val="4"/>
          <c:spPr>
            <a:ln>
              <a:noFill/>
            </a:ln>
          </c:spPr>
          <c:marker>
            <c:symbol val="x"/>
            <c:size val="10"/>
            <c:spPr>
              <a:pattFill prst="pct5">
                <a:fgClr>
                  <a:schemeClr val="tx1"/>
                </a:fgClr>
                <a:bgClr>
                  <a:schemeClr val="bg1"/>
                </a:bgClr>
              </a:pattFill>
              <a:ln>
                <a:solidFill>
                  <a:srgbClr val="0000FF"/>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4-FE96-4AAD-8521-E0A3930F2A15}"/>
            </c:ext>
          </c:extLst>
        </c:ser>
        <c:ser>
          <c:idx val="5"/>
          <c:order val="5"/>
          <c:spPr>
            <a:ln>
              <a:noFill/>
            </a:ln>
          </c:spPr>
          <c:marker>
            <c:symbol val="x"/>
            <c:size val="10"/>
            <c:spPr>
              <a:pattFill prst="pct5">
                <a:fgClr>
                  <a:schemeClr val="tx1"/>
                </a:fgClr>
                <a:bgClr>
                  <a:schemeClr val="bg1"/>
                </a:bgClr>
              </a:pattFill>
              <a:ln>
                <a:solidFill>
                  <a:srgbClr val="FF0000"/>
                </a:solidFill>
              </a:ln>
            </c:spPr>
          </c:marker>
          <c:cat>
            <c:numRef>
              <c:f>'Calculations - Single'!$AM$5:$AM$105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Single'!$CD$216:$CD$316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5-FE96-4AAD-8521-E0A3930F2A15}"/>
            </c:ext>
          </c:extLst>
        </c:ser>
        <c:dLbls>
          <c:showLegendKey val="0"/>
          <c:showVal val="0"/>
          <c:showCatName val="0"/>
          <c:showSerName val="0"/>
          <c:showPercent val="0"/>
          <c:showBubbleSize val="0"/>
        </c:dLbls>
        <c:smooth val="0"/>
        <c:axId val="98490624"/>
        <c:axId val="102572800"/>
      </c:lineChart>
      <c:catAx>
        <c:axId val="98490624"/>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02572800"/>
        <c:crosses val="autoZero"/>
        <c:auto val="1"/>
        <c:lblAlgn val="ctr"/>
        <c:lblOffset val="100"/>
        <c:tickLblSkip val="20"/>
        <c:tickMarkSkip val="10"/>
        <c:noMultiLvlLbl val="0"/>
      </c:catAx>
      <c:valAx>
        <c:axId val="102572800"/>
        <c:scaling>
          <c:orientation val="minMax"/>
          <c:max val="400"/>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Switching</a:t>
                </a:r>
                <a:r>
                  <a:rPr lang="en-US" sz="1200" b="1" baseline="0">
                    <a:solidFill>
                      <a:schemeClr val="tx1"/>
                    </a:solidFill>
                    <a:latin typeface="Arial" pitchFamily="34" charset="0"/>
                    <a:cs typeface="Arial" pitchFamily="34" charset="0"/>
                  </a:rPr>
                  <a:t> Frquency (kHz)</a:t>
                </a:r>
                <a:endParaRPr lang="en-US" sz="1200" b="1">
                  <a:solidFill>
                    <a:schemeClr val="tx1"/>
                  </a:solidFill>
                  <a:latin typeface="Arial" pitchFamily="34" charset="0"/>
                  <a:cs typeface="Arial" pitchFamily="34" charset="0"/>
                </a:endParaRPr>
              </a:p>
            </c:rich>
          </c:tx>
          <c:layout>
            <c:manualLayout>
              <c:xMode val="edge"/>
              <c:yMode val="edge"/>
              <c:x val="8.5568268367748525E-3"/>
              <c:y val="0.30050661099568304"/>
            </c:manualLayout>
          </c:layout>
          <c:overlay val="0"/>
          <c:spPr>
            <a:noFill/>
            <a:ln w="25400">
              <a:noFill/>
            </a:ln>
          </c:spPr>
        </c:title>
        <c:numFmt formatCode="#,##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98490624"/>
        <c:crossesAt val="0"/>
        <c:crossBetween val="between"/>
        <c:majorUnit val="50"/>
        <c:minorUnit val="25"/>
      </c:valAx>
      <c:spPr>
        <a:solidFill>
          <a:srgbClr val="FFFFFF"/>
        </a:solidFill>
        <a:ln w="25400">
          <a:noFill/>
        </a:ln>
      </c:spPr>
    </c:plotArea>
    <c:legend>
      <c:legendPos val="l"/>
      <c:legendEntry>
        <c:idx val="3"/>
        <c:delete val="1"/>
      </c:legendEntry>
      <c:legendEntry>
        <c:idx val="4"/>
        <c:delete val="1"/>
      </c:legendEntry>
      <c:legendEntry>
        <c:idx val="5"/>
        <c:delete val="1"/>
      </c:legendEntry>
      <c:layout>
        <c:manualLayout>
          <c:xMode val="edge"/>
          <c:yMode val="edge"/>
          <c:x val="0.14682981090100111"/>
          <c:y val="0.67041751876868938"/>
          <c:w val="0.13753070632578046"/>
          <c:h val="0.1749683688186130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no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3009796772281"/>
          <c:y val="9.6043598935517463E-2"/>
          <c:w val="0.79387547420256122"/>
          <c:h val="0.75083975467433728"/>
        </c:manualLayout>
      </c:layout>
      <c:lineChart>
        <c:grouping val="standard"/>
        <c:varyColors val="0"/>
        <c:ser>
          <c:idx val="9"/>
          <c:order val="9"/>
          <c:tx>
            <c:v>VIN-min</c:v>
          </c:tx>
          <c:spPr>
            <a:ln>
              <a:solidFill>
                <a:srgbClr val="00B050"/>
              </a:solidFill>
              <a:prstDash val="sys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Dual'!$AM$110:$AM$210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344.98355456637233</c:v>
                </c:pt>
                <c:pt idx="31">
                  <c:v>333.85505280616673</c:v>
                </c:pt>
                <c:pt idx="32">
                  <c:v>323.42208240597404</c:v>
                </c:pt>
                <c:pt idx="33">
                  <c:v>313.62141324215656</c:v>
                </c:pt>
                <c:pt idx="34">
                  <c:v>304.39725402915195</c:v>
                </c:pt>
                <c:pt idx="35">
                  <c:v>295.70018962831915</c:v>
                </c:pt>
                <c:pt idx="36">
                  <c:v>287.48629547197697</c:v>
                </c:pt>
                <c:pt idx="37">
                  <c:v>279.7163955943559</c:v>
                </c:pt>
                <c:pt idx="38">
                  <c:v>272.35543781555697</c:v>
                </c:pt>
                <c:pt idx="39">
                  <c:v>265.37196505105555</c:v>
                </c:pt>
                <c:pt idx="40">
                  <c:v>258.73766592477921</c:v>
                </c:pt>
                <c:pt idx="41">
                  <c:v>252.42699114612611</c:v>
                </c:pt>
                <c:pt idx="42">
                  <c:v>246.41682469026591</c:v>
                </c:pt>
                <c:pt idx="43">
                  <c:v>240.6862008602597</c:v>
                </c:pt>
                <c:pt idx="44">
                  <c:v>235.21605993161748</c:v>
                </c:pt>
                <c:pt idx="45">
                  <c:v>229.98903637758153</c:v>
                </c:pt>
                <c:pt idx="46">
                  <c:v>224.98927471719929</c:v>
                </c:pt>
                <c:pt idx="47">
                  <c:v>220.20226887215256</c:v>
                </c:pt>
                <c:pt idx="48">
                  <c:v>215.61472160398264</c:v>
                </c:pt>
                <c:pt idx="49">
                  <c:v>211.21442116308509</c:v>
                </c:pt>
                <c:pt idx="50">
                  <c:v>206.99013273982331</c:v>
                </c:pt>
                <c:pt idx="51">
                  <c:v>202.93150268610131</c:v>
                </c:pt>
                <c:pt idx="52">
                  <c:v>199.02897378829169</c:v>
                </c:pt>
                <c:pt idx="53">
                  <c:v>195.27371013190881</c:v>
                </c:pt>
                <c:pt idx="54">
                  <c:v>191.65753031465127</c:v>
                </c:pt>
                <c:pt idx="55">
                  <c:v>188.17284794529394</c:v>
                </c:pt>
                <c:pt idx="56">
                  <c:v>184.81261851769946</c:v>
                </c:pt>
                <c:pt idx="57">
                  <c:v>181.57029187703807</c:v>
                </c:pt>
                <c:pt idx="58">
                  <c:v>178.43976960329601</c:v>
                </c:pt>
                <c:pt idx="59">
                  <c:v>175.41536672866388</c:v>
                </c:pt>
                <c:pt idx="60">
                  <c:v>172.49177728318617</c:v>
                </c:pt>
                <c:pt idx="61">
                  <c:v>169.66404322936347</c:v>
                </c:pt>
                <c:pt idx="62">
                  <c:v>166.92752640308336</c:v>
                </c:pt>
                <c:pt idx="63">
                  <c:v>164.27788312684396</c:v>
                </c:pt>
                <c:pt idx="64">
                  <c:v>161.71104120298702</c:v>
                </c:pt>
                <c:pt idx="65">
                  <c:v>159.22317903063342</c:v>
                </c:pt>
                <c:pt idx="66">
                  <c:v>156.81070662107828</c:v>
                </c:pt>
                <c:pt idx="67">
                  <c:v>154.47024831330103</c:v>
                </c:pt>
                <c:pt idx="68">
                  <c:v>152.19862701457598</c:v>
                </c:pt>
                <c:pt idx="69">
                  <c:v>149.99284981146624</c:v>
                </c:pt>
                <c:pt idx="70">
                  <c:v>147.85009481415958</c:v>
                </c:pt>
                <c:pt idx="71">
                  <c:v>145.76769911255172</c:v>
                </c:pt>
                <c:pt idx="72">
                  <c:v>143.74314773598849</c:v>
                </c:pt>
                <c:pt idx="73">
                  <c:v>141.77406352042698</c:v>
                </c:pt>
                <c:pt idx="74">
                  <c:v>139.85819779717795</c:v>
                </c:pt>
                <c:pt idx="75">
                  <c:v>137.99342182654891</c:v>
                </c:pt>
                <c:pt idx="76">
                  <c:v>136.17771890777848</c:v>
                </c:pt>
                <c:pt idx="77">
                  <c:v>134.40917710378139</c:v>
                </c:pt>
                <c:pt idx="78">
                  <c:v>132.68598252552778</c:v>
                </c:pt>
                <c:pt idx="79">
                  <c:v>131.00641312647048</c:v>
                </c:pt>
                <c:pt idx="80">
                  <c:v>129.3688329623896</c:v>
                </c:pt>
                <c:pt idx="81">
                  <c:v>127.77168687643417</c:v>
                </c:pt>
                <c:pt idx="82">
                  <c:v>126.21349557306306</c:v>
                </c:pt>
                <c:pt idx="83">
                  <c:v>124.69285104808637</c:v>
                </c:pt>
                <c:pt idx="84">
                  <c:v>123.20841234513296</c:v>
                </c:pt>
                <c:pt idx="85">
                  <c:v>121.75890161166083</c:v>
                </c:pt>
                <c:pt idx="86">
                  <c:v>120.34310043012985</c:v>
                </c:pt>
                <c:pt idx="87">
                  <c:v>118.95984640219733</c:v>
                </c:pt>
                <c:pt idx="88">
                  <c:v>117.60802996580874</c:v>
                </c:pt>
                <c:pt idx="89">
                  <c:v>116.28659142686705</c:v>
                </c:pt>
                <c:pt idx="90">
                  <c:v>114.99451818879076</c:v>
                </c:pt>
                <c:pt idx="91">
                  <c:v>113.73084216473814</c:v>
                </c:pt>
                <c:pt idx="92">
                  <c:v>112.49463735859965</c:v>
                </c:pt>
                <c:pt idx="93">
                  <c:v>111.28501760205556</c:v>
                </c:pt>
                <c:pt idx="94">
                  <c:v>110.10113443607628</c:v>
                </c:pt>
                <c:pt idx="95">
                  <c:v>108.94217512622284</c:v>
                </c:pt>
                <c:pt idx="96">
                  <c:v>107.80736080199132</c:v>
                </c:pt>
                <c:pt idx="97">
                  <c:v>106.69594471124917</c:v>
                </c:pt>
                <c:pt idx="98">
                  <c:v>105.60721058154255</c:v>
                </c:pt>
                <c:pt idx="99">
                  <c:v>104.54047108071886</c:v>
                </c:pt>
                <c:pt idx="100">
                  <c:v>103.49506636991165</c:v>
                </c:pt>
              </c:numCache>
            </c:numRef>
          </c:val>
          <c:smooth val="0"/>
          <c:extLst>
            <c:ext xmlns:c16="http://schemas.microsoft.com/office/drawing/2014/chart" uri="{C3380CC4-5D6E-409C-BE32-E72D297353CC}">
              <c16:uniqueId val="{00000000-060B-4F42-A7EB-10F25C34FBD8}"/>
            </c:ext>
          </c:extLst>
        </c:ser>
        <c:ser>
          <c:idx val="10"/>
          <c:order val="10"/>
          <c:tx>
            <c:v>VIN-nom</c:v>
          </c:tx>
          <c:spPr>
            <a:ln w="28575">
              <a:solidFill>
                <a:srgbClr val="0000FF"/>
              </a:solidFill>
              <a:prstDash val="lg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Dual'!$AM$5:$AM$105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349.81551083155921</c:v>
                </c:pt>
                <c:pt idx="34">
                  <c:v>339.52681933651337</c:v>
                </c:pt>
                <c:pt idx="35">
                  <c:v>329.82605306975591</c:v>
                </c:pt>
                <c:pt idx="36">
                  <c:v>320.66421826226264</c:v>
                </c:pt>
                <c:pt idx="37">
                  <c:v>311.99761776868803</c:v>
                </c:pt>
                <c:pt idx="38">
                  <c:v>303.78715414319612</c:v>
                </c:pt>
                <c:pt idx="39">
                  <c:v>295.99773993439624</c:v>
                </c:pt>
                <c:pt idx="40">
                  <c:v>288.59779643603622</c:v>
                </c:pt>
                <c:pt idx="41">
                  <c:v>281.558825791255</c:v>
                </c:pt>
                <c:pt idx="42">
                  <c:v>274.85504422479659</c:v>
                </c:pt>
                <c:pt idx="43">
                  <c:v>268.4630664521269</c:v>
                </c:pt>
                <c:pt idx="44">
                  <c:v>262.36163312366949</c:v>
                </c:pt>
                <c:pt idx="45">
                  <c:v>256.53137460981009</c:v>
                </c:pt>
                <c:pt idx="46">
                  <c:v>250.95460559655336</c:v>
                </c:pt>
                <c:pt idx="47">
                  <c:v>245.61514590300965</c:v>
                </c:pt>
                <c:pt idx="48">
                  <c:v>240.49816369669696</c:v>
                </c:pt>
                <c:pt idx="49">
                  <c:v>235.59003790696849</c:v>
                </c:pt>
                <c:pt idx="50">
                  <c:v>230.87823714882904</c:v>
                </c:pt>
                <c:pt idx="51">
                  <c:v>226.35121289100891</c:v>
                </c:pt>
                <c:pt idx="52">
                  <c:v>221.99830495079718</c:v>
                </c:pt>
                <c:pt idx="53">
                  <c:v>217.80965768757454</c:v>
                </c:pt>
                <c:pt idx="54">
                  <c:v>213.77614550817506</c:v>
                </c:pt>
                <c:pt idx="55">
                  <c:v>209.88930649893553</c:v>
                </c:pt>
                <c:pt idx="56">
                  <c:v>206.14128316859737</c:v>
                </c:pt>
                <c:pt idx="57">
                  <c:v>202.5247694287975</c:v>
                </c:pt>
                <c:pt idx="58">
                  <c:v>199.03296305933543</c:v>
                </c:pt>
                <c:pt idx="59">
                  <c:v>195.65952300748233</c:v>
                </c:pt>
                <c:pt idx="60">
                  <c:v>192.39853095735756</c:v>
                </c:pt>
                <c:pt idx="61">
                  <c:v>189.24445667936811</c:v>
                </c:pt>
                <c:pt idx="62">
                  <c:v>186.19212673292668</c:v>
                </c:pt>
                <c:pt idx="63">
                  <c:v>183.2366961498644</c:v>
                </c:pt>
                <c:pt idx="64">
                  <c:v>180.37362277252276</c:v>
                </c:pt>
                <c:pt idx="65">
                  <c:v>177.59864396063779</c:v>
                </c:pt>
                <c:pt idx="66">
                  <c:v>174.9077554157796</c:v>
                </c:pt>
                <c:pt idx="67">
                  <c:v>172.29719190211128</c:v>
                </c:pt>
                <c:pt idx="68">
                  <c:v>169.76340966825668</c:v>
                </c:pt>
                <c:pt idx="69">
                  <c:v>167.3030703977023</c:v>
                </c:pt>
                <c:pt idx="70">
                  <c:v>164.91302653487796</c:v>
                </c:pt>
                <c:pt idx="71">
                  <c:v>162.59030785128812</c:v>
                </c:pt>
                <c:pt idx="72">
                  <c:v>160.33210913113132</c:v>
                </c:pt>
                <c:pt idx="73">
                  <c:v>158.13577886906106</c:v>
                </c:pt>
                <c:pt idx="74">
                  <c:v>155.99880888434402</c:v>
                </c:pt>
                <c:pt idx="75">
                  <c:v>153.91882476588603</c:v>
                </c:pt>
                <c:pt idx="76">
                  <c:v>151.89357707159806</c:v>
                </c:pt>
                <c:pt idx="77">
                  <c:v>149.92093321352536</c:v>
                </c:pt>
                <c:pt idx="78">
                  <c:v>147.99886996719812</c:v>
                </c:pt>
                <c:pt idx="79">
                  <c:v>146.1254665498918</c:v>
                </c:pt>
                <c:pt idx="80">
                  <c:v>144.29889821801811</c:v>
                </c:pt>
                <c:pt idx="81">
                  <c:v>142.51743033878338</c:v>
                </c:pt>
                <c:pt idx="82">
                  <c:v>140.7794128956275</c:v>
                </c:pt>
                <c:pt idx="83">
                  <c:v>139.0832753908609</c:v>
                </c:pt>
                <c:pt idx="84">
                  <c:v>137.42752211239829</c:v>
                </c:pt>
                <c:pt idx="85">
                  <c:v>135.81072773460534</c:v>
                </c:pt>
                <c:pt idx="86">
                  <c:v>134.23153322606345</c:v>
                </c:pt>
                <c:pt idx="87">
                  <c:v>132.68864203955695</c:v>
                </c:pt>
                <c:pt idx="88">
                  <c:v>131.18081656183475</c:v>
                </c:pt>
                <c:pt idx="89">
                  <c:v>129.70687480271297</c:v>
                </c:pt>
                <c:pt idx="90">
                  <c:v>128.26568730490504</c:v>
                </c:pt>
                <c:pt idx="91">
                  <c:v>126.8561742575984</c:v>
                </c:pt>
                <c:pt idx="92">
                  <c:v>125.47730279827668</c:v>
                </c:pt>
                <c:pt idx="93">
                  <c:v>124.12808448861782</c:v>
                </c:pt>
                <c:pt idx="94">
                  <c:v>122.80757295150482</c:v>
                </c:pt>
                <c:pt idx="95">
                  <c:v>121.51486165727846</c:v>
                </c:pt>
                <c:pt idx="96">
                  <c:v>120.24908184834848</c:v>
                </c:pt>
                <c:pt idx="97">
                  <c:v>119.00940059217994</c:v>
                </c:pt>
                <c:pt idx="98">
                  <c:v>117.79501895348425</c:v>
                </c:pt>
                <c:pt idx="99">
                  <c:v>116.60517027718639</c:v>
                </c:pt>
                <c:pt idx="100">
                  <c:v>115.43911857441452</c:v>
                </c:pt>
              </c:numCache>
            </c:numRef>
          </c:val>
          <c:smooth val="0"/>
          <c:extLst>
            <c:ext xmlns:c16="http://schemas.microsoft.com/office/drawing/2014/chart" uri="{C3380CC4-5D6E-409C-BE32-E72D297353CC}">
              <c16:uniqueId val="{00000001-060B-4F42-A7EB-10F25C34FBD8}"/>
            </c:ext>
          </c:extLst>
        </c:ser>
        <c:ser>
          <c:idx val="11"/>
          <c:order val="11"/>
          <c:tx>
            <c:v>VIN-max</c:v>
          </c:tx>
          <c:spPr>
            <a:ln>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Dual'!$AM$216:$AM$316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342.7556013909317</c:v>
                </c:pt>
                <c:pt idx="38">
                  <c:v>333.73571714380182</c:v>
                </c:pt>
                <c:pt idx="39">
                  <c:v>325.17839106319144</c:v>
                </c:pt>
                <c:pt idx="40">
                  <c:v>317.04893128661172</c:v>
                </c:pt>
                <c:pt idx="41">
                  <c:v>309.31603052352369</c:v>
                </c:pt>
                <c:pt idx="42">
                  <c:v>301.95136313010647</c:v>
                </c:pt>
                <c:pt idx="43">
                  <c:v>294.92923840615049</c:v>
                </c:pt>
                <c:pt idx="44">
                  <c:v>288.22630116964706</c:v>
                </c:pt>
                <c:pt idx="45">
                  <c:v>281.82127225476597</c:v>
                </c:pt>
                <c:pt idx="46">
                  <c:v>275.69472285792324</c:v>
                </c:pt>
                <c:pt idx="47">
                  <c:v>269.82887769073346</c:v>
                </c:pt>
                <c:pt idx="48">
                  <c:v>264.20744273884316</c:v>
                </c:pt>
                <c:pt idx="49">
                  <c:v>258.81545411151978</c:v>
                </c:pt>
                <c:pt idx="50">
                  <c:v>253.63914502928941</c:v>
                </c:pt>
                <c:pt idx="51">
                  <c:v>248.66582846008762</c:v>
                </c:pt>
                <c:pt idx="52">
                  <c:v>243.88379329739362</c:v>
                </c:pt>
                <c:pt idx="53">
                  <c:v>239.28221229178243</c:v>
                </c:pt>
                <c:pt idx="54">
                  <c:v>234.85106021230499</c:v>
                </c:pt>
                <c:pt idx="55">
                  <c:v>230.5810409357176</c:v>
                </c:pt>
                <c:pt idx="56">
                  <c:v>226.46352234757981</c:v>
                </c:pt>
                <c:pt idx="57">
                  <c:v>222.49047809586799</c:v>
                </c:pt>
                <c:pt idx="58">
                  <c:v>218.65443537007707</c:v>
                </c:pt>
                <c:pt idx="59">
                  <c:v>214.94842799092328</c:v>
                </c:pt>
                <c:pt idx="60">
                  <c:v>211.36595419107454</c:v>
                </c:pt>
                <c:pt idx="61">
                  <c:v>207.90093854859794</c:v>
                </c:pt>
                <c:pt idx="62">
                  <c:v>204.54769760426564</c:v>
                </c:pt>
                <c:pt idx="63">
                  <c:v>201.30090875340429</c:v>
                </c:pt>
                <c:pt idx="64">
                  <c:v>198.15558205413237</c:v>
                </c:pt>
                <c:pt idx="65">
                  <c:v>195.10703463791492</c:v>
                </c:pt>
                <c:pt idx="66">
                  <c:v>192.15086744643136</c:v>
                </c:pt>
                <c:pt idx="67">
                  <c:v>189.28294405170851</c:v>
                </c:pt>
                <c:pt idx="68">
                  <c:v>186.49937134506573</c:v>
                </c:pt>
                <c:pt idx="69">
                  <c:v>183.79648190528223</c:v>
                </c:pt>
                <c:pt idx="70">
                  <c:v>181.1708178780639</c:v>
                </c:pt>
                <c:pt idx="71">
                  <c:v>178.61911621780948</c:v>
                </c:pt>
                <c:pt idx="72">
                  <c:v>176.13829515922879</c:v>
                </c:pt>
                <c:pt idx="73">
                  <c:v>173.7254418008832</c:v>
                </c:pt>
                <c:pt idx="74">
                  <c:v>171.37780069546585</c:v>
                </c:pt>
                <c:pt idx="75">
                  <c:v>169.09276335285961</c:v>
                </c:pt>
                <c:pt idx="76">
                  <c:v>166.86785857190091</c:v>
                </c:pt>
                <c:pt idx="77">
                  <c:v>164.70074352551259</c:v>
                </c:pt>
                <c:pt idx="78">
                  <c:v>162.58919553159572</c:v>
                </c:pt>
                <c:pt idx="79">
                  <c:v>160.53110444891735</c:v>
                </c:pt>
                <c:pt idx="80">
                  <c:v>158.52446564330586</c:v>
                </c:pt>
                <c:pt idx="81">
                  <c:v>156.56737347487001</c:v>
                </c:pt>
                <c:pt idx="82">
                  <c:v>154.65801526176185</c:v>
                </c:pt>
                <c:pt idx="83">
                  <c:v>152.79466568029483</c:v>
                </c:pt>
                <c:pt idx="84">
                  <c:v>150.97568156505324</c:v>
                </c:pt>
                <c:pt idx="85">
                  <c:v>149.19949707605264</c:v>
                </c:pt>
                <c:pt idx="86">
                  <c:v>147.46461920307524</c:v>
                </c:pt>
                <c:pt idx="87">
                  <c:v>145.76962358005139</c:v>
                </c:pt>
                <c:pt idx="88">
                  <c:v>144.11315058482353</c:v>
                </c:pt>
                <c:pt idx="89">
                  <c:v>142.49390170184799</c:v>
                </c:pt>
                <c:pt idx="90">
                  <c:v>140.91063612738299</c:v>
                </c:pt>
                <c:pt idx="91">
                  <c:v>139.36216759851064</c:v>
                </c:pt>
                <c:pt idx="92">
                  <c:v>137.84736142896162</c:v>
                </c:pt>
                <c:pt idx="93">
                  <c:v>136.36513173617712</c:v>
                </c:pt>
                <c:pt idx="94">
                  <c:v>134.91443884536673</c:v>
                </c:pt>
                <c:pt idx="95">
                  <c:v>133.49428685752073</c:v>
                </c:pt>
                <c:pt idx="96">
                  <c:v>132.10372136942158</c:v>
                </c:pt>
                <c:pt idx="97">
                  <c:v>130.74182733468527</c:v>
                </c:pt>
                <c:pt idx="98">
                  <c:v>129.40772705575989</c:v>
                </c:pt>
                <c:pt idx="99">
                  <c:v>128.1005782976209</c:v>
                </c:pt>
                <c:pt idx="100">
                  <c:v>126.8195725146447</c:v>
                </c:pt>
              </c:numCache>
            </c:numRef>
          </c:val>
          <c:smooth val="0"/>
          <c:extLst>
            <c:ext xmlns:c16="http://schemas.microsoft.com/office/drawing/2014/chart" uri="{C3380CC4-5D6E-409C-BE32-E72D297353CC}">
              <c16:uniqueId val="{00000002-060B-4F42-A7EB-10F25C34FBD8}"/>
            </c:ext>
          </c:extLst>
        </c:ser>
        <c:ser>
          <c:idx val="12"/>
          <c:order val="12"/>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3-060B-4F42-A7EB-10F25C34FBD8}"/>
            </c:ext>
          </c:extLst>
        </c:ser>
        <c:ser>
          <c:idx val="13"/>
          <c:order val="13"/>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4-060B-4F42-A7EB-10F25C34FBD8}"/>
            </c:ext>
          </c:extLst>
        </c:ser>
        <c:ser>
          <c:idx val="14"/>
          <c:order val="14"/>
          <c:spPr>
            <a:ln>
              <a:noFill/>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5-060B-4F42-A7EB-10F25C34FBD8}"/>
            </c:ext>
          </c:extLst>
        </c:ser>
        <c:ser>
          <c:idx val="15"/>
          <c:order val="15"/>
          <c:tx>
            <c:v>D1</c:v>
          </c:tx>
          <c:spPr>
            <a:ln w="25400">
              <a:solidFill>
                <a:srgbClr val="0000FF"/>
              </a:solidFill>
              <a:prstDash val="lgDash"/>
            </a:ln>
          </c:spPr>
          <c:marker>
            <c:symbol val="none"/>
          </c:marker>
          <c:val>
            <c:numRef>
              <c:f>'Calculations - Dual'!$AU$5:$AU$105</c:f>
              <c:numCache>
                <c:formatCode>0.000</c:formatCode>
                <c:ptCount val="101"/>
                <c:pt idx="0">
                  <c:v>1.0149999999999999E-2</c:v>
                </c:pt>
                <c:pt idx="1">
                  <c:v>1.4080459770114946E-2</c:v>
                </c:pt>
                <c:pt idx="2">
                  <c:v>2.8160919540229892E-2</c:v>
                </c:pt>
                <c:pt idx="3">
                  <c:v>4.2241379310344836E-2</c:v>
                </c:pt>
                <c:pt idx="4">
                  <c:v>5.6321839080459783E-2</c:v>
                </c:pt>
                <c:pt idx="5">
                  <c:v>7.0402298850574738E-2</c:v>
                </c:pt>
                <c:pt idx="6">
                  <c:v>8.4482758620689671E-2</c:v>
                </c:pt>
                <c:pt idx="7">
                  <c:v>9.8563218390804619E-2</c:v>
                </c:pt>
                <c:pt idx="8">
                  <c:v>0.11264367816091957</c:v>
                </c:pt>
                <c:pt idx="9">
                  <c:v>0.12672413793103449</c:v>
                </c:pt>
                <c:pt idx="10">
                  <c:v>0.14080459770114948</c:v>
                </c:pt>
                <c:pt idx="11">
                  <c:v>0.15488505747126441</c:v>
                </c:pt>
                <c:pt idx="12">
                  <c:v>0.16896551724137934</c:v>
                </c:pt>
                <c:pt idx="13">
                  <c:v>0.18304597701149428</c:v>
                </c:pt>
                <c:pt idx="14">
                  <c:v>0.19712643678160924</c:v>
                </c:pt>
                <c:pt idx="15">
                  <c:v>0.21120689655172417</c:v>
                </c:pt>
                <c:pt idx="16">
                  <c:v>0.22528735632183913</c:v>
                </c:pt>
                <c:pt idx="17">
                  <c:v>0.23936781609195404</c:v>
                </c:pt>
                <c:pt idx="18">
                  <c:v>0.25949869411852389</c:v>
                </c:pt>
                <c:pt idx="19">
                  <c:v>0.28142120640510609</c:v>
                </c:pt>
                <c:pt idx="20">
                  <c:v>0.30392849009402811</c:v>
                </c:pt>
                <c:pt idx="21">
                  <c:v>0.32700572880842421</c:v>
                </c:pt>
                <c:pt idx="22">
                  <c:v>0.35063917858377197</c:v>
                </c:pt>
                <c:pt idx="23">
                  <c:v>0.37481604439948235</c:v>
                </c:pt>
                <c:pt idx="24">
                  <c:v>0.39952437574316307</c:v>
                </c:pt>
                <c:pt idx="25">
                  <c:v>0.42475297759319885</c:v>
                </c:pt>
                <c:pt idx="26">
                  <c:v>0.43714985988788785</c:v>
                </c:pt>
                <c:pt idx="27">
                  <c:v>0.44547727214752497</c:v>
                </c:pt>
                <c:pt idx="28">
                  <c:v>0.45365184888855026</c:v>
                </c:pt>
                <c:pt idx="29">
                  <c:v>0.46168170853955215</c:v>
                </c:pt>
                <c:pt idx="30">
                  <c:v>0.46957427527495577</c:v>
                </c:pt>
                <c:pt idx="31">
                  <c:v>0.47733635939450497</c:v>
                </c:pt>
                <c:pt idx="32">
                  <c:v>0.4849742261192857</c:v>
                </c:pt>
                <c:pt idx="33">
                  <c:v>0.49223405551050869</c:v>
                </c:pt>
                <c:pt idx="34">
                  <c:v>0.48494129597250174</c:v>
                </c:pt>
                <c:pt idx="35">
                  <c:v>0.47796335957425035</c:v>
                </c:pt>
                <c:pt idx="36">
                  <c:v>0.4712782281065992</c:v>
                </c:pt>
                <c:pt idx="37">
                  <c:v>0.46486598063872847</c:v>
                </c:pt>
                <c:pt idx="38">
                  <c:v>0.45870854346864121</c:v>
                </c:pt>
                <c:pt idx="39">
                  <c:v>0.45278947557145466</c:v>
                </c:pt>
                <c:pt idx="40">
                  <c:v>0.44709378373957059</c:v>
                </c:pt>
                <c:pt idx="41">
                  <c:v>0.44160776267762514</c:v>
                </c:pt>
                <c:pt idx="42">
                  <c:v>0.43631885616628291</c:v>
                </c:pt>
                <c:pt idx="43">
                  <c:v>0.43121553609083707</c:v>
                </c:pt>
                <c:pt idx="44">
                  <c:v>0.42628719667994019</c:v>
                </c:pt>
                <c:pt idx="45">
                  <c:v>0.42152406174480306</c:v>
                </c:pt>
                <c:pt idx="46">
                  <c:v>0.41691710307150487</c:v>
                </c:pt>
                <c:pt idx="47">
                  <c:v>0.41245796841547133</c:v>
                </c:pt>
                <c:pt idx="48">
                  <c:v>0.40813891779083245</c:v>
                </c:pt>
                <c:pt idx="49">
                  <c:v>0.40395276694851351</c:v>
                </c:pt>
                <c:pt idx="50">
                  <c:v>0.39989283710370815</c:v>
                </c:pt>
                <c:pt idx="51">
                  <c:v>0.39595291011220812</c:v>
                </c:pt>
                <c:pt idx="52">
                  <c:v>0.50515463917525771</c:v>
                </c:pt>
                <c:pt idx="53">
                  <c:v>0.50515463917525771</c:v>
                </c:pt>
                <c:pt idx="54">
                  <c:v>0.50515463917525771</c:v>
                </c:pt>
                <c:pt idx="55">
                  <c:v>0.50515463917525771</c:v>
                </c:pt>
                <c:pt idx="56">
                  <c:v>0.50515463917525771</c:v>
                </c:pt>
                <c:pt idx="57">
                  <c:v>0.50515463917525771</c:v>
                </c:pt>
                <c:pt idx="58">
                  <c:v>0.50515463917525771</c:v>
                </c:pt>
                <c:pt idx="59">
                  <c:v>0.50515463917525771</c:v>
                </c:pt>
                <c:pt idx="60">
                  <c:v>0.50515463917525771</c:v>
                </c:pt>
                <c:pt idx="61">
                  <c:v>0.5051546391752576</c:v>
                </c:pt>
                <c:pt idx="62">
                  <c:v>0.50515463917525771</c:v>
                </c:pt>
                <c:pt idx="63">
                  <c:v>0.50515463917525771</c:v>
                </c:pt>
                <c:pt idx="64">
                  <c:v>0.50515463917525782</c:v>
                </c:pt>
                <c:pt idx="65">
                  <c:v>0.50515463917525771</c:v>
                </c:pt>
                <c:pt idx="66">
                  <c:v>0.50515463917525782</c:v>
                </c:pt>
                <c:pt idx="67">
                  <c:v>0.5051546391752576</c:v>
                </c:pt>
                <c:pt idx="68">
                  <c:v>0.50515463917525771</c:v>
                </c:pt>
                <c:pt idx="69">
                  <c:v>0.50515463917525782</c:v>
                </c:pt>
                <c:pt idx="70">
                  <c:v>0.50515463917525782</c:v>
                </c:pt>
                <c:pt idx="71">
                  <c:v>0.5051546391752576</c:v>
                </c:pt>
                <c:pt idx="72">
                  <c:v>0.50515463917525771</c:v>
                </c:pt>
                <c:pt idx="73">
                  <c:v>0.50515463917525771</c:v>
                </c:pt>
                <c:pt idx="74">
                  <c:v>0.50515463917525782</c:v>
                </c:pt>
                <c:pt idx="75">
                  <c:v>0.50515463917525771</c:v>
                </c:pt>
                <c:pt idx="76">
                  <c:v>0.50515463917525771</c:v>
                </c:pt>
                <c:pt idx="77">
                  <c:v>0.50515463917525771</c:v>
                </c:pt>
                <c:pt idx="78">
                  <c:v>0.50515463917525771</c:v>
                </c:pt>
                <c:pt idx="79">
                  <c:v>0.50515463917525771</c:v>
                </c:pt>
                <c:pt idx="80">
                  <c:v>0.5051546391752576</c:v>
                </c:pt>
                <c:pt idx="81">
                  <c:v>0.5051546391752576</c:v>
                </c:pt>
                <c:pt idx="82">
                  <c:v>0.50515463917525771</c:v>
                </c:pt>
                <c:pt idx="83">
                  <c:v>0.50515463917525771</c:v>
                </c:pt>
                <c:pt idx="84">
                  <c:v>0.50515463917525771</c:v>
                </c:pt>
                <c:pt idx="85">
                  <c:v>0.5051546391752576</c:v>
                </c:pt>
                <c:pt idx="86">
                  <c:v>0.50515463917525771</c:v>
                </c:pt>
                <c:pt idx="87">
                  <c:v>0.50515463917525771</c:v>
                </c:pt>
                <c:pt idx="88">
                  <c:v>0.50515463917525771</c:v>
                </c:pt>
                <c:pt idx="89">
                  <c:v>0.50515463917525771</c:v>
                </c:pt>
                <c:pt idx="90">
                  <c:v>0.50515463917525771</c:v>
                </c:pt>
                <c:pt idx="91">
                  <c:v>0.50515463917525771</c:v>
                </c:pt>
                <c:pt idx="92">
                  <c:v>0.50515463917525782</c:v>
                </c:pt>
                <c:pt idx="93">
                  <c:v>0.50515463917525782</c:v>
                </c:pt>
                <c:pt idx="94">
                  <c:v>0.50515463917525771</c:v>
                </c:pt>
                <c:pt idx="95">
                  <c:v>0.50515463917525771</c:v>
                </c:pt>
                <c:pt idx="96">
                  <c:v>0.50515463917525771</c:v>
                </c:pt>
                <c:pt idx="97">
                  <c:v>0.50515463917525782</c:v>
                </c:pt>
                <c:pt idx="98">
                  <c:v>0.50515463917525771</c:v>
                </c:pt>
                <c:pt idx="99">
                  <c:v>0.50515463917525771</c:v>
                </c:pt>
                <c:pt idx="100">
                  <c:v>0.50515463917525771</c:v>
                </c:pt>
              </c:numCache>
            </c:numRef>
          </c:val>
          <c:smooth val="0"/>
          <c:extLst>
            <c:ext xmlns:c16="http://schemas.microsoft.com/office/drawing/2014/chart" uri="{C3380CC4-5D6E-409C-BE32-E72D297353CC}">
              <c16:uniqueId val="{00000006-060B-4F42-A7EB-10F25C34FBD8}"/>
            </c:ext>
          </c:extLst>
        </c:ser>
        <c:ser>
          <c:idx val="16"/>
          <c:order val="16"/>
          <c:spPr>
            <a:ln w="25400">
              <a:solidFill>
                <a:srgbClr val="00B050"/>
              </a:solidFill>
              <a:prstDash val="dash"/>
            </a:ln>
          </c:spPr>
          <c:marker>
            <c:symbol val="none"/>
          </c:marker>
          <c:val>
            <c:numRef>
              <c:f>'Calculations - Dual'!$AU$110:$AU$210</c:f>
              <c:numCache>
                <c:formatCode>0.000</c:formatCode>
                <c:ptCount val="101"/>
                <c:pt idx="0">
                  <c:v>1.1277777777777775E-2</c:v>
                </c:pt>
                <c:pt idx="1">
                  <c:v>1.5644955300127716E-2</c:v>
                </c:pt>
                <c:pt idx="2">
                  <c:v>3.1289910600255433E-2</c:v>
                </c:pt>
                <c:pt idx="3">
                  <c:v>4.6934865900383149E-2</c:v>
                </c:pt>
                <c:pt idx="4">
                  <c:v>6.2579821200510866E-2</c:v>
                </c:pt>
                <c:pt idx="5">
                  <c:v>7.8224776500638582E-2</c:v>
                </c:pt>
                <c:pt idx="6">
                  <c:v>9.3869731800766298E-2</c:v>
                </c:pt>
                <c:pt idx="7">
                  <c:v>0.109514687100894</c:v>
                </c:pt>
                <c:pt idx="8">
                  <c:v>0.12515964240102173</c:v>
                </c:pt>
                <c:pt idx="9">
                  <c:v>0.14080459770114942</c:v>
                </c:pt>
                <c:pt idx="10">
                  <c:v>0.15644955300127716</c:v>
                </c:pt>
                <c:pt idx="11">
                  <c:v>0.17209450830140488</c:v>
                </c:pt>
                <c:pt idx="12">
                  <c:v>0.1877394636015326</c:v>
                </c:pt>
                <c:pt idx="13">
                  <c:v>0.20338441890166029</c:v>
                </c:pt>
                <c:pt idx="14">
                  <c:v>0.219029374201788</c:v>
                </c:pt>
                <c:pt idx="15">
                  <c:v>0.23467432950191572</c:v>
                </c:pt>
                <c:pt idx="16">
                  <c:v>0.25031928480204346</c:v>
                </c:pt>
                <c:pt idx="17">
                  <c:v>0.26596424010217112</c:v>
                </c:pt>
                <c:pt idx="18">
                  <c:v>0.28833188235391544</c:v>
                </c:pt>
                <c:pt idx="19">
                  <c:v>0.3126902293390067</c:v>
                </c:pt>
                <c:pt idx="20">
                  <c:v>0.33769832232669789</c:v>
                </c:pt>
                <c:pt idx="21">
                  <c:v>0.36333969867602695</c:v>
                </c:pt>
                <c:pt idx="22">
                  <c:v>0.38959908731530218</c:v>
                </c:pt>
                <c:pt idx="23">
                  <c:v>0.41646227155498039</c:v>
                </c:pt>
                <c:pt idx="24">
                  <c:v>0.44391597304795899</c:v>
                </c:pt>
                <c:pt idx="25">
                  <c:v>0.47194775288133201</c:v>
                </c:pt>
                <c:pt idx="26">
                  <c:v>0.48572206654209765</c:v>
                </c:pt>
                <c:pt idx="27">
                  <c:v>0.49497474683058329</c:v>
                </c:pt>
                <c:pt idx="28">
                  <c:v>0.50405760987616699</c:v>
                </c:pt>
                <c:pt idx="29">
                  <c:v>0.51297967615505791</c:v>
                </c:pt>
                <c:pt idx="30">
                  <c:v>0.5142711194199443</c:v>
                </c:pt>
                <c:pt idx="31">
                  <c:v>0.5314533622559654</c:v>
                </c:pt>
                <c:pt idx="32">
                  <c:v>0.53145336225596529</c:v>
                </c:pt>
                <c:pt idx="33">
                  <c:v>0.53145336225596518</c:v>
                </c:pt>
                <c:pt idx="34">
                  <c:v>0.53145336225596529</c:v>
                </c:pt>
                <c:pt idx="35">
                  <c:v>0.53145336225596529</c:v>
                </c:pt>
                <c:pt idx="36">
                  <c:v>0.53145336225596529</c:v>
                </c:pt>
                <c:pt idx="37">
                  <c:v>0.53145336225596518</c:v>
                </c:pt>
                <c:pt idx="38">
                  <c:v>0.53145336225596518</c:v>
                </c:pt>
                <c:pt idx="39">
                  <c:v>0.53145336225596529</c:v>
                </c:pt>
                <c:pt idx="40">
                  <c:v>0.53145336225596529</c:v>
                </c:pt>
                <c:pt idx="41">
                  <c:v>0.5314533622559654</c:v>
                </c:pt>
                <c:pt idx="42">
                  <c:v>0.53145336225596529</c:v>
                </c:pt>
                <c:pt idx="43">
                  <c:v>0.53145336225596518</c:v>
                </c:pt>
                <c:pt idx="44">
                  <c:v>0.53145336225596529</c:v>
                </c:pt>
                <c:pt idx="45">
                  <c:v>0.53145336225596529</c:v>
                </c:pt>
                <c:pt idx="46">
                  <c:v>0.53145336225596529</c:v>
                </c:pt>
                <c:pt idx="47">
                  <c:v>0.53145336225596529</c:v>
                </c:pt>
                <c:pt idx="48">
                  <c:v>0.53145336225596529</c:v>
                </c:pt>
                <c:pt idx="49">
                  <c:v>0.53145336225596529</c:v>
                </c:pt>
                <c:pt idx="50">
                  <c:v>0.53145336225596518</c:v>
                </c:pt>
                <c:pt idx="51">
                  <c:v>0.53145336225596529</c:v>
                </c:pt>
                <c:pt idx="52">
                  <c:v>0.5314533622559654</c:v>
                </c:pt>
                <c:pt idx="53">
                  <c:v>0.53145336225596529</c:v>
                </c:pt>
                <c:pt idx="54">
                  <c:v>0.53145336225596529</c:v>
                </c:pt>
                <c:pt idx="55">
                  <c:v>0.53145336225596529</c:v>
                </c:pt>
                <c:pt idx="56">
                  <c:v>0.5314533622559654</c:v>
                </c:pt>
                <c:pt idx="57">
                  <c:v>0.53145336225596518</c:v>
                </c:pt>
                <c:pt idx="58">
                  <c:v>0.53145336225596529</c:v>
                </c:pt>
                <c:pt idx="59">
                  <c:v>0.53145336225596529</c:v>
                </c:pt>
                <c:pt idx="60">
                  <c:v>0.5314533622559654</c:v>
                </c:pt>
                <c:pt idx="61">
                  <c:v>0.5314533622559654</c:v>
                </c:pt>
                <c:pt idx="62">
                  <c:v>0.5314533622559654</c:v>
                </c:pt>
                <c:pt idx="63">
                  <c:v>0.53145336225596518</c:v>
                </c:pt>
                <c:pt idx="64">
                  <c:v>0.53145336225596529</c:v>
                </c:pt>
                <c:pt idx="65">
                  <c:v>0.5314533622559654</c:v>
                </c:pt>
                <c:pt idx="66">
                  <c:v>0.53145336225596518</c:v>
                </c:pt>
                <c:pt idx="67">
                  <c:v>0.53145336225596529</c:v>
                </c:pt>
                <c:pt idx="68">
                  <c:v>0.53145336225596529</c:v>
                </c:pt>
                <c:pt idx="69">
                  <c:v>0.53145336225596529</c:v>
                </c:pt>
                <c:pt idx="70">
                  <c:v>0.53145336225596529</c:v>
                </c:pt>
                <c:pt idx="71">
                  <c:v>0.5314533622559654</c:v>
                </c:pt>
                <c:pt idx="72">
                  <c:v>0.53145336225596529</c:v>
                </c:pt>
                <c:pt idx="73">
                  <c:v>0.53145336225596518</c:v>
                </c:pt>
                <c:pt idx="74">
                  <c:v>0.53145336225596518</c:v>
                </c:pt>
                <c:pt idx="75">
                  <c:v>0.53145336225596529</c:v>
                </c:pt>
                <c:pt idx="76">
                  <c:v>0.53145336225596518</c:v>
                </c:pt>
                <c:pt idx="77">
                  <c:v>0.53145336225596518</c:v>
                </c:pt>
                <c:pt idx="78">
                  <c:v>0.53145336225596529</c:v>
                </c:pt>
                <c:pt idx="79">
                  <c:v>0.53145336225596518</c:v>
                </c:pt>
                <c:pt idx="80">
                  <c:v>0.53145336225596529</c:v>
                </c:pt>
                <c:pt idx="81">
                  <c:v>0.53145336225596529</c:v>
                </c:pt>
                <c:pt idx="82">
                  <c:v>0.5314533622559654</c:v>
                </c:pt>
                <c:pt idx="83">
                  <c:v>0.53145336225596529</c:v>
                </c:pt>
                <c:pt idx="84">
                  <c:v>0.53145336225596529</c:v>
                </c:pt>
                <c:pt idx="85">
                  <c:v>0.5314533622559654</c:v>
                </c:pt>
                <c:pt idx="86">
                  <c:v>0.53145336225596518</c:v>
                </c:pt>
                <c:pt idx="87">
                  <c:v>0.53145336225596529</c:v>
                </c:pt>
                <c:pt idx="88">
                  <c:v>0.53145336225596529</c:v>
                </c:pt>
                <c:pt idx="89">
                  <c:v>0.53145336225596529</c:v>
                </c:pt>
                <c:pt idx="90">
                  <c:v>0.53145336225596529</c:v>
                </c:pt>
                <c:pt idx="91">
                  <c:v>0.53145336225596529</c:v>
                </c:pt>
                <c:pt idx="92">
                  <c:v>0.53145336225596529</c:v>
                </c:pt>
                <c:pt idx="93">
                  <c:v>0.53145336225596529</c:v>
                </c:pt>
                <c:pt idx="94">
                  <c:v>0.53145336225596529</c:v>
                </c:pt>
                <c:pt idx="95">
                  <c:v>0.53145336225596529</c:v>
                </c:pt>
                <c:pt idx="96">
                  <c:v>0.53145336225596529</c:v>
                </c:pt>
                <c:pt idx="97">
                  <c:v>0.53145336225596529</c:v>
                </c:pt>
                <c:pt idx="98">
                  <c:v>0.53145336225596529</c:v>
                </c:pt>
                <c:pt idx="99">
                  <c:v>0.53145336225596529</c:v>
                </c:pt>
                <c:pt idx="100">
                  <c:v>0.53145336225596518</c:v>
                </c:pt>
              </c:numCache>
            </c:numRef>
          </c:val>
          <c:smooth val="0"/>
          <c:extLst>
            <c:ext xmlns:c16="http://schemas.microsoft.com/office/drawing/2014/chart" uri="{C3380CC4-5D6E-409C-BE32-E72D297353CC}">
              <c16:uniqueId val="{00000007-060B-4F42-A7EB-10F25C34FBD8}"/>
            </c:ext>
          </c:extLst>
        </c:ser>
        <c:ser>
          <c:idx val="17"/>
          <c:order val="17"/>
          <c:spPr>
            <a:ln w="25400">
              <a:solidFill>
                <a:srgbClr val="FF0000"/>
              </a:solidFill>
            </a:ln>
          </c:spPr>
          <c:marker>
            <c:symbol val="none"/>
          </c:marker>
          <c:val>
            <c:numRef>
              <c:f>'Calculations - Dual'!$AU$216:$AU$316</c:f>
              <c:numCache>
                <c:formatCode>0.000</c:formatCode>
                <c:ptCount val="101"/>
                <c:pt idx="0">
                  <c:v>9.2272727272727263E-3</c:v>
                </c:pt>
                <c:pt idx="1">
                  <c:v>1.280041797283177E-2</c:v>
                </c:pt>
                <c:pt idx="2">
                  <c:v>2.5600835945663539E-2</c:v>
                </c:pt>
                <c:pt idx="3">
                  <c:v>3.8401253918495304E-2</c:v>
                </c:pt>
                <c:pt idx="4">
                  <c:v>5.1201671891327079E-2</c:v>
                </c:pt>
                <c:pt idx="5">
                  <c:v>6.4002089864158854E-2</c:v>
                </c:pt>
                <c:pt idx="6">
                  <c:v>7.6802507836990608E-2</c:v>
                </c:pt>
                <c:pt idx="7">
                  <c:v>8.9602925809822376E-2</c:v>
                </c:pt>
                <c:pt idx="8">
                  <c:v>0.10240334378265416</c:v>
                </c:pt>
                <c:pt idx="9">
                  <c:v>0.11520376175548591</c:v>
                </c:pt>
                <c:pt idx="10">
                  <c:v>0.12800417972831771</c:v>
                </c:pt>
                <c:pt idx="11">
                  <c:v>0.14080459770114945</c:v>
                </c:pt>
                <c:pt idx="12">
                  <c:v>0.15360501567398122</c:v>
                </c:pt>
                <c:pt idx="13">
                  <c:v>0.16640543364681296</c:v>
                </c:pt>
                <c:pt idx="14">
                  <c:v>0.17920585161964475</c:v>
                </c:pt>
                <c:pt idx="15">
                  <c:v>0.19200626959247652</c:v>
                </c:pt>
                <c:pt idx="16">
                  <c:v>0.20480668756530832</c:v>
                </c:pt>
                <c:pt idx="17">
                  <c:v>0.21760710553814003</c:v>
                </c:pt>
                <c:pt idx="18">
                  <c:v>0.23590790374411258</c:v>
                </c:pt>
                <c:pt idx="19">
                  <c:v>0.25583746036827826</c:v>
                </c:pt>
                <c:pt idx="20">
                  <c:v>0.27629862735820737</c:v>
                </c:pt>
                <c:pt idx="21">
                  <c:v>0.29727793528038565</c:v>
                </c:pt>
                <c:pt idx="22">
                  <c:v>0.31876288962161087</c:v>
                </c:pt>
                <c:pt idx="23">
                  <c:v>0.34074185854498401</c:v>
                </c:pt>
                <c:pt idx="24">
                  <c:v>0.36320397794833009</c:v>
                </c:pt>
                <c:pt idx="25">
                  <c:v>0.38613907053927166</c:v>
                </c:pt>
                <c:pt idx="26">
                  <c:v>0.39740896353444355</c:v>
                </c:pt>
                <c:pt idx="27">
                  <c:v>0.40497933831593186</c:v>
                </c:pt>
                <c:pt idx="28">
                  <c:v>0.41241077171686397</c:v>
                </c:pt>
                <c:pt idx="29">
                  <c:v>0.41971064412686565</c:v>
                </c:pt>
                <c:pt idx="30">
                  <c:v>0.42688570479541438</c:v>
                </c:pt>
                <c:pt idx="31">
                  <c:v>0.43394214490409544</c:v>
                </c:pt>
                <c:pt idx="32">
                  <c:v>0.4408856601084416</c:v>
                </c:pt>
                <c:pt idx="33">
                  <c:v>0.44772150434678193</c:v>
                </c:pt>
                <c:pt idx="34">
                  <c:v>0.45445453636181765</c:v>
                </c:pt>
                <c:pt idx="35">
                  <c:v>0.46108926010602752</c:v>
                </c:pt>
                <c:pt idx="36">
                  <c:v>0.46762985998587947</c:v>
                </c:pt>
                <c:pt idx="37">
                  <c:v>0.46426758552467928</c:v>
                </c:pt>
                <c:pt idx="38">
                  <c:v>0.48133595284872305</c:v>
                </c:pt>
                <c:pt idx="39">
                  <c:v>0.48133595284872299</c:v>
                </c:pt>
                <c:pt idx="40">
                  <c:v>0.48133595284872299</c:v>
                </c:pt>
                <c:pt idx="41">
                  <c:v>0.48133595284872305</c:v>
                </c:pt>
                <c:pt idx="42">
                  <c:v>0.48133595284872305</c:v>
                </c:pt>
                <c:pt idx="43">
                  <c:v>0.48133595284872305</c:v>
                </c:pt>
                <c:pt idx="44">
                  <c:v>0.48133595284872305</c:v>
                </c:pt>
                <c:pt idx="45">
                  <c:v>0.48133595284872288</c:v>
                </c:pt>
                <c:pt idx="46">
                  <c:v>0.48133595284872299</c:v>
                </c:pt>
                <c:pt idx="47">
                  <c:v>0.48133595284872305</c:v>
                </c:pt>
                <c:pt idx="48">
                  <c:v>0.48133595284872299</c:v>
                </c:pt>
                <c:pt idx="49">
                  <c:v>0.48133595284872299</c:v>
                </c:pt>
                <c:pt idx="50">
                  <c:v>0.48133595284872299</c:v>
                </c:pt>
                <c:pt idx="51">
                  <c:v>0.48133595284872299</c:v>
                </c:pt>
                <c:pt idx="52">
                  <c:v>0.48133595284872299</c:v>
                </c:pt>
                <c:pt idx="53">
                  <c:v>0.48133595284872305</c:v>
                </c:pt>
                <c:pt idx="54">
                  <c:v>0.48133595284872299</c:v>
                </c:pt>
                <c:pt idx="55">
                  <c:v>0.48133595284872299</c:v>
                </c:pt>
                <c:pt idx="56">
                  <c:v>0.48133595284872321</c:v>
                </c:pt>
                <c:pt idx="57">
                  <c:v>0.48133595284872299</c:v>
                </c:pt>
                <c:pt idx="58">
                  <c:v>0.48133595284872288</c:v>
                </c:pt>
                <c:pt idx="59">
                  <c:v>0.48133595284872299</c:v>
                </c:pt>
                <c:pt idx="60">
                  <c:v>0.48133595284872299</c:v>
                </c:pt>
                <c:pt idx="61">
                  <c:v>0.48133595284872305</c:v>
                </c:pt>
                <c:pt idx="62">
                  <c:v>0.48133595284872299</c:v>
                </c:pt>
                <c:pt idx="63">
                  <c:v>0.48133595284872299</c:v>
                </c:pt>
                <c:pt idx="64">
                  <c:v>0.48133595284872305</c:v>
                </c:pt>
                <c:pt idx="65">
                  <c:v>0.48133595284872299</c:v>
                </c:pt>
                <c:pt idx="66">
                  <c:v>0.48133595284872305</c:v>
                </c:pt>
                <c:pt idx="67">
                  <c:v>0.48133595284872294</c:v>
                </c:pt>
                <c:pt idx="68">
                  <c:v>0.48133595284872294</c:v>
                </c:pt>
                <c:pt idx="69">
                  <c:v>0.48133595284872294</c:v>
                </c:pt>
                <c:pt idx="70">
                  <c:v>0.48133595284872294</c:v>
                </c:pt>
                <c:pt idx="71">
                  <c:v>0.48133595284872294</c:v>
                </c:pt>
                <c:pt idx="72">
                  <c:v>0.48133595284872288</c:v>
                </c:pt>
                <c:pt idx="73">
                  <c:v>0.48133595284872294</c:v>
                </c:pt>
                <c:pt idx="74">
                  <c:v>0.4813359528487231</c:v>
                </c:pt>
                <c:pt idx="75">
                  <c:v>0.4813359528487231</c:v>
                </c:pt>
                <c:pt idx="76">
                  <c:v>0.48133595284872305</c:v>
                </c:pt>
                <c:pt idx="77">
                  <c:v>0.48133595284872294</c:v>
                </c:pt>
                <c:pt idx="78">
                  <c:v>0.48133595284872299</c:v>
                </c:pt>
                <c:pt idx="79">
                  <c:v>0.48133595284872299</c:v>
                </c:pt>
                <c:pt idx="80">
                  <c:v>0.48133595284872299</c:v>
                </c:pt>
                <c:pt idx="81">
                  <c:v>0.48133595284872299</c:v>
                </c:pt>
                <c:pt idx="82">
                  <c:v>0.48133595284872305</c:v>
                </c:pt>
                <c:pt idx="83">
                  <c:v>0.48133595284872299</c:v>
                </c:pt>
                <c:pt idx="84">
                  <c:v>0.48133595284872305</c:v>
                </c:pt>
                <c:pt idx="85">
                  <c:v>0.48133595284872305</c:v>
                </c:pt>
                <c:pt idx="86">
                  <c:v>0.48133595284872305</c:v>
                </c:pt>
                <c:pt idx="87">
                  <c:v>0.48133595284872305</c:v>
                </c:pt>
                <c:pt idx="88">
                  <c:v>0.48133595284872305</c:v>
                </c:pt>
                <c:pt idx="89">
                  <c:v>0.4813359528487231</c:v>
                </c:pt>
                <c:pt idx="90">
                  <c:v>0.48133595284872288</c:v>
                </c:pt>
                <c:pt idx="91">
                  <c:v>0.48133595284872294</c:v>
                </c:pt>
                <c:pt idx="92">
                  <c:v>0.48133595284872299</c:v>
                </c:pt>
                <c:pt idx="93">
                  <c:v>0.48133595284872305</c:v>
                </c:pt>
                <c:pt idx="94">
                  <c:v>0.48133595284872305</c:v>
                </c:pt>
                <c:pt idx="95">
                  <c:v>0.48133595284872299</c:v>
                </c:pt>
                <c:pt idx="96">
                  <c:v>0.48133595284872299</c:v>
                </c:pt>
                <c:pt idx="97">
                  <c:v>0.48133595284872305</c:v>
                </c:pt>
                <c:pt idx="98">
                  <c:v>0.48133595284872299</c:v>
                </c:pt>
                <c:pt idx="99">
                  <c:v>0.48133595284872305</c:v>
                </c:pt>
                <c:pt idx="100">
                  <c:v>0.48133595284872299</c:v>
                </c:pt>
              </c:numCache>
            </c:numRef>
          </c:val>
          <c:smooth val="0"/>
          <c:extLst>
            <c:ext xmlns:c16="http://schemas.microsoft.com/office/drawing/2014/chart" uri="{C3380CC4-5D6E-409C-BE32-E72D297353CC}">
              <c16:uniqueId val="{00000008-060B-4F42-A7EB-10F25C34FBD8}"/>
            </c:ext>
          </c:extLst>
        </c:ser>
        <c:ser>
          <c:idx val="1"/>
          <c:order val="0"/>
          <c:tx>
            <c:v>VIN-min</c:v>
          </c:tx>
          <c:spPr>
            <a:ln>
              <a:solidFill>
                <a:srgbClr val="00B050"/>
              </a:solidFill>
              <a:prstDash val="sys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Dual'!$AM$110:$AM$210</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344.98355456637233</c:v>
                </c:pt>
                <c:pt idx="31">
                  <c:v>333.85505280616673</c:v>
                </c:pt>
                <c:pt idx="32">
                  <c:v>323.42208240597404</c:v>
                </c:pt>
                <c:pt idx="33">
                  <c:v>313.62141324215656</c:v>
                </c:pt>
                <c:pt idx="34">
                  <c:v>304.39725402915195</c:v>
                </c:pt>
                <c:pt idx="35">
                  <c:v>295.70018962831915</c:v>
                </c:pt>
                <c:pt idx="36">
                  <c:v>287.48629547197697</c:v>
                </c:pt>
                <c:pt idx="37">
                  <c:v>279.7163955943559</c:v>
                </c:pt>
                <c:pt idx="38">
                  <c:v>272.35543781555697</c:v>
                </c:pt>
                <c:pt idx="39">
                  <c:v>265.37196505105555</c:v>
                </c:pt>
                <c:pt idx="40">
                  <c:v>258.73766592477921</c:v>
                </c:pt>
                <c:pt idx="41">
                  <c:v>252.42699114612611</c:v>
                </c:pt>
                <c:pt idx="42">
                  <c:v>246.41682469026591</c:v>
                </c:pt>
                <c:pt idx="43">
                  <c:v>240.6862008602597</c:v>
                </c:pt>
                <c:pt idx="44">
                  <c:v>235.21605993161748</c:v>
                </c:pt>
                <c:pt idx="45">
                  <c:v>229.98903637758153</c:v>
                </c:pt>
                <c:pt idx="46">
                  <c:v>224.98927471719929</c:v>
                </c:pt>
                <c:pt idx="47">
                  <c:v>220.20226887215256</c:v>
                </c:pt>
                <c:pt idx="48">
                  <c:v>215.61472160398264</c:v>
                </c:pt>
                <c:pt idx="49">
                  <c:v>211.21442116308509</c:v>
                </c:pt>
                <c:pt idx="50">
                  <c:v>206.99013273982331</c:v>
                </c:pt>
                <c:pt idx="51">
                  <c:v>202.93150268610131</c:v>
                </c:pt>
                <c:pt idx="52">
                  <c:v>199.02897378829169</c:v>
                </c:pt>
                <c:pt idx="53">
                  <c:v>195.27371013190881</c:v>
                </c:pt>
                <c:pt idx="54">
                  <c:v>191.65753031465127</c:v>
                </c:pt>
                <c:pt idx="55">
                  <c:v>188.17284794529394</c:v>
                </c:pt>
                <c:pt idx="56">
                  <c:v>184.81261851769946</c:v>
                </c:pt>
                <c:pt idx="57">
                  <c:v>181.57029187703807</c:v>
                </c:pt>
                <c:pt idx="58">
                  <c:v>178.43976960329601</c:v>
                </c:pt>
                <c:pt idx="59">
                  <c:v>175.41536672866388</c:v>
                </c:pt>
                <c:pt idx="60">
                  <c:v>172.49177728318617</c:v>
                </c:pt>
                <c:pt idx="61">
                  <c:v>169.66404322936347</c:v>
                </c:pt>
                <c:pt idx="62">
                  <c:v>166.92752640308336</c:v>
                </c:pt>
                <c:pt idx="63">
                  <c:v>164.27788312684396</c:v>
                </c:pt>
                <c:pt idx="64">
                  <c:v>161.71104120298702</c:v>
                </c:pt>
                <c:pt idx="65">
                  <c:v>159.22317903063342</c:v>
                </c:pt>
                <c:pt idx="66">
                  <c:v>156.81070662107828</c:v>
                </c:pt>
                <c:pt idx="67">
                  <c:v>154.47024831330103</c:v>
                </c:pt>
                <c:pt idx="68">
                  <c:v>152.19862701457598</c:v>
                </c:pt>
                <c:pt idx="69">
                  <c:v>149.99284981146624</c:v>
                </c:pt>
                <c:pt idx="70">
                  <c:v>147.85009481415958</c:v>
                </c:pt>
                <c:pt idx="71">
                  <c:v>145.76769911255172</c:v>
                </c:pt>
                <c:pt idx="72">
                  <c:v>143.74314773598849</c:v>
                </c:pt>
                <c:pt idx="73">
                  <c:v>141.77406352042698</c:v>
                </c:pt>
                <c:pt idx="74">
                  <c:v>139.85819779717795</c:v>
                </c:pt>
                <c:pt idx="75">
                  <c:v>137.99342182654891</c:v>
                </c:pt>
                <c:pt idx="76">
                  <c:v>136.17771890777848</c:v>
                </c:pt>
                <c:pt idx="77">
                  <c:v>134.40917710378139</c:v>
                </c:pt>
                <c:pt idx="78">
                  <c:v>132.68598252552778</c:v>
                </c:pt>
                <c:pt idx="79">
                  <c:v>131.00641312647048</c:v>
                </c:pt>
                <c:pt idx="80">
                  <c:v>129.3688329623896</c:v>
                </c:pt>
                <c:pt idx="81">
                  <c:v>127.77168687643417</c:v>
                </c:pt>
                <c:pt idx="82">
                  <c:v>126.21349557306306</c:v>
                </c:pt>
                <c:pt idx="83">
                  <c:v>124.69285104808637</c:v>
                </c:pt>
                <c:pt idx="84">
                  <c:v>123.20841234513296</c:v>
                </c:pt>
                <c:pt idx="85">
                  <c:v>121.75890161166083</c:v>
                </c:pt>
                <c:pt idx="86">
                  <c:v>120.34310043012985</c:v>
                </c:pt>
                <c:pt idx="87">
                  <c:v>118.95984640219733</c:v>
                </c:pt>
                <c:pt idx="88">
                  <c:v>117.60802996580874</c:v>
                </c:pt>
                <c:pt idx="89">
                  <c:v>116.28659142686705</c:v>
                </c:pt>
                <c:pt idx="90">
                  <c:v>114.99451818879076</c:v>
                </c:pt>
                <c:pt idx="91">
                  <c:v>113.73084216473814</c:v>
                </c:pt>
                <c:pt idx="92">
                  <c:v>112.49463735859965</c:v>
                </c:pt>
                <c:pt idx="93">
                  <c:v>111.28501760205556</c:v>
                </c:pt>
                <c:pt idx="94">
                  <c:v>110.10113443607628</c:v>
                </c:pt>
                <c:pt idx="95">
                  <c:v>108.94217512622284</c:v>
                </c:pt>
                <c:pt idx="96">
                  <c:v>107.80736080199132</c:v>
                </c:pt>
                <c:pt idx="97">
                  <c:v>106.69594471124917</c:v>
                </c:pt>
                <c:pt idx="98">
                  <c:v>105.60721058154255</c:v>
                </c:pt>
                <c:pt idx="99">
                  <c:v>104.54047108071886</c:v>
                </c:pt>
                <c:pt idx="100">
                  <c:v>103.49506636991165</c:v>
                </c:pt>
              </c:numCache>
            </c:numRef>
          </c:val>
          <c:smooth val="0"/>
          <c:extLst>
            <c:ext xmlns:c16="http://schemas.microsoft.com/office/drawing/2014/chart" uri="{C3380CC4-5D6E-409C-BE32-E72D297353CC}">
              <c16:uniqueId val="{00000009-060B-4F42-A7EB-10F25C34FBD8}"/>
            </c:ext>
          </c:extLst>
        </c:ser>
        <c:ser>
          <c:idx val="0"/>
          <c:order val="1"/>
          <c:tx>
            <c:v>VIN-nom</c:v>
          </c:tx>
          <c:spPr>
            <a:ln w="28575">
              <a:solidFill>
                <a:srgbClr val="0000FF"/>
              </a:solidFill>
              <a:prstDash val="lgDash"/>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Dual'!$AM$5:$AM$105</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349.81551083155921</c:v>
                </c:pt>
                <c:pt idx="34">
                  <c:v>339.52681933651337</c:v>
                </c:pt>
                <c:pt idx="35">
                  <c:v>329.82605306975591</c:v>
                </c:pt>
                <c:pt idx="36">
                  <c:v>320.66421826226264</c:v>
                </c:pt>
                <c:pt idx="37">
                  <c:v>311.99761776868803</c:v>
                </c:pt>
                <c:pt idx="38">
                  <c:v>303.78715414319612</c:v>
                </c:pt>
                <c:pt idx="39">
                  <c:v>295.99773993439624</c:v>
                </c:pt>
                <c:pt idx="40">
                  <c:v>288.59779643603622</c:v>
                </c:pt>
                <c:pt idx="41">
                  <c:v>281.558825791255</c:v>
                </c:pt>
                <c:pt idx="42">
                  <c:v>274.85504422479659</c:v>
                </c:pt>
                <c:pt idx="43">
                  <c:v>268.4630664521269</c:v>
                </c:pt>
                <c:pt idx="44">
                  <c:v>262.36163312366949</c:v>
                </c:pt>
                <c:pt idx="45">
                  <c:v>256.53137460981009</c:v>
                </c:pt>
                <c:pt idx="46">
                  <c:v>250.95460559655336</c:v>
                </c:pt>
                <c:pt idx="47">
                  <c:v>245.61514590300965</c:v>
                </c:pt>
                <c:pt idx="48">
                  <c:v>240.49816369669696</c:v>
                </c:pt>
                <c:pt idx="49">
                  <c:v>235.59003790696849</c:v>
                </c:pt>
                <c:pt idx="50">
                  <c:v>230.87823714882904</c:v>
                </c:pt>
                <c:pt idx="51">
                  <c:v>226.35121289100891</c:v>
                </c:pt>
                <c:pt idx="52">
                  <c:v>221.99830495079718</c:v>
                </c:pt>
                <c:pt idx="53">
                  <c:v>217.80965768757454</c:v>
                </c:pt>
                <c:pt idx="54">
                  <c:v>213.77614550817506</c:v>
                </c:pt>
                <c:pt idx="55">
                  <c:v>209.88930649893553</c:v>
                </c:pt>
                <c:pt idx="56">
                  <c:v>206.14128316859737</c:v>
                </c:pt>
                <c:pt idx="57">
                  <c:v>202.5247694287975</c:v>
                </c:pt>
                <c:pt idx="58">
                  <c:v>199.03296305933543</c:v>
                </c:pt>
                <c:pt idx="59">
                  <c:v>195.65952300748233</c:v>
                </c:pt>
                <c:pt idx="60">
                  <c:v>192.39853095735756</c:v>
                </c:pt>
                <c:pt idx="61">
                  <c:v>189.24445667936811</c:v>
                </c:pt>
                <c:pt idx="62">
                  <c:v>186.19212673292668</c:v>
                </c:pt>
                <c:pt idx="63">
                  <c:v>183.2366961498644</c:v>
                </c:pt>
                <c:pt idx="64">
                  <c:v>180.37362277252276</c:v>
                </c:pt>
                <c:pt idx="65">
                  <c:v>177.59864396063779</c:v>
                </c:pt>
                <c:pt idx="66">
                  <c:v>174.9077554157796</c:v>
                </c:pt>
                <c:pt idx="67">
                  <c:v>172.29719190211128</c:v>
                </c:pt>
                <c:pt idx="68">
                  <c:v>169.76340966825668</c:v>
                </c:pt>
                <c:pt idx="69">
                  <c:v>167.3030703977023</c:v>
                </c:pt>
                <c:pt idx="70">
                  <c:v>164.91302653487796</c:v>
                </c:pt>
                <c:pt idx="71">
                  <c:v>162.59030785128812</c:v>
                </c:pt>
                <c:pt idx="72">
                  <c:v>160.33210913113132</c:v>
                </c:pt>
                <c:pt idx="73">
                  <c:v>158.13577886906106</c:v>
                </c:pt>
                <c:pt idx="74">
                  <c:v>155.99880888434402</c:v>
                </c:pt>
                <c:pt idx="75">
                  <c:v>153.91882476588603</c:v>
                </c:pt>
                <c:pt idx="76">
                  <c:v>151.89357707159806</c:v>
                </c:pt>
                <c:pt idx="77">
                  <c:v>149.92093321352536</c:v>
                </c:pt>
                <c:pt idx="78">
                  <c:v>147.99886996719812</c:v>
                </c:pt>
                <c:pt idx="79">
                  <c:v>146.1254665498918</c:v>
                </c:pt>
                <c:pt idx="80">
                  <c:v>144.29889821801811</c:v>
                </c:pt>
                <c:pt idx="81">
                  <c:v>142.51743033878338</c:v>
                </c:pt>
                <c:pt idx="82">
                  <c:v>140.7794128956275</c:v>
                </c:pt>
                <c:pt idx="83">
                  <c:v>139.0832753908609</c:v>
                </c:pt>
                <c:pt idx="84">
                  <c:v>137.42752211239829</c:v>
                </c:pt>
                <c:pt idx="85">
                  <c:v>135.81072773460534</c:v>
                </c:pt>
                <c:pt idx="86">
                  <c:v>134.23153322606345</c:v>
                </c:pt>
                <c:pt idx="87">
                  <c:v>132.68864203955695</c:v>
                </c:pt>
                <c:pt idx="88">
                  <c:v>131.18081656183475</c:v>
                </c:pt>
                <c:pt idx="89">
                  <c:v>129.70687480271297</c:v>
                </c:pt>
                <c:pt idx="90">
                  <c:v>128.26568730490504</c:v>
                </c:pt>
                <c:pt idx="91">
                  <c:v>126.8561742575984</c:v>
                </c:pt>
                <c:pt idx="92">
                  <c:v>125.47730279827668</c:v>
                </c:pt>
                <c:pt idx="93">
                  <c:v>124.12808448861782</c:v>
                </c:pt>
                <c:pt idx="94">
                  <c:v>122.80757295150482</c:v>
                </c:pt>
                <c:pt idx="95">
                  <c:v>121.51486165727846</c:v>
                </c:pt>
                <c:pt idx="96">
                  <c:v>120.24908184834848</c:v>
                </c:pt>
                <c:pt idx="97">
                  <c:v>119.00940059217994</c:v>
                </c:pt>
                <c:pt idx="98">
                  <c:v>117.79501895348425</c:v>
                </c:pt>
                <c:pt idx="99">
                  <c:v>116.60517027718639</c:v>
                </c:pt>
                <c:pt idx="100">
                  <c:v>115.43911857441452</c:v>
                </c:pt>
              </c:numCache>
            </c:numRef>
          </c:val>
          <c:smooth val="0"/>
          <c:extLst>
            <c:ext xmlns:c16="http://schemas.microsoft.com/office/drawing/2014/chart" uri="{C3380CC4-5D6E-409C-BE32-E72D297353CC}">
              <c16:uniqueId val="{0000000A-060B-4F42-A7EB-10F25C34FBD8}"/>
            </c:ext>
          </c:extLst>
        </c:ser>
        <c:ser>
          <c:idx val="2"/>
          <c:order val="2"/>
          <c:tx>
            <c:v>VIN-max</c:v>
          </c:tx>
          <c:spPr>
            <a:ln>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Dual'!$AM$216:$AM$316</c:f>
              <c:numCache>
                <c:formatCode>0.0</c:formatCode>
                <c:ptCount val="101"/>
                <c:pt idx="0">
                  <c:v>10</c:v>
                </c:pt>
                <c:pt idx="1">
                  <c:v>13.872374157748716</c:v>
                </c:pt>
                <c:pt idx="2">
                  <c:v>27.744748315497432</c:v>
                </c:pt>
                <c:pt idx="3">
                  <c:v>41.617122473246148</c:v>
                </c:pt>
                <c:pt idx="4">
                  <c:v>55.489496630994864</c:v>
                </c:pt>
                <c:pt idx="5">
                  <c:v>69.361870788743587</c:v>
                </c:pt>
                <c:pt idx="6">
                  <c:v>83.234244946492296</c:v>
                </c:pt>
                <c:pt idx="7">
                  <c:v>97.10661910424102</c:v>
                </c:pt>
                <c:pt idx="8">
                  <c:v>110.97899326198973</c:v>
                </c:pt>
                <c:pt idx="9">
                  <c:v>124.85136741973842</c:v>
                </c:pt>
                <c:pt idx="10">
                  <c:v>138.72374157748717</c:v>
                </c:pt>
                <c:pt idx="11">
                  <c:v>152.59611573523588</c:v>
                </c:pt>
                <c:pt idx="12">
                  <c:v>166.46848989298459</c:v>
                </c:pt>
                <c:pt idx="13">
                  <c:v>180.3408640507333</c:v>
                </c:pt>
                <c:pt idx="14">
                  <c:v>194.21323820848204</c:v>
                </c:pt>
                <c:pt idx="15">
                  <c:v>208.08561236623072</c:v>
                </c:pt>
                <c:pt idx="16">
                  <c:v>221.95798652397946</c:v>
                </c:pt>
                <c:pt idx="17">
                  <c:v>235.83036068172817</c:v>
                </c:pt>
                <c:pt idx="18">
                  <c:v>249.70273483947685</c:v>
                </c:pt>
                <c:pt idx="19">
                  <c:v>263.57510899722564</c:v>
                </c:pt>
                <c:pt idx="20">
                  <c:v>277.44748315497435</c:v>
                </c:pt>
                <c:pt idx="21">
                  <c:v>291.31985731272306</c:v>
                </c:pt>
                <c:pt idx="22">
                  <c:v>305.19223147047177</c:v>
                </c:pt>
                <c:pt idx="23">
                  <c:v>319.06460562822048</c:v>
                </c:pt>
                <c:pt idx="24">
                  <c:v>332.93697978596919</c:v>
                </c:pt>
                <c:pt idx="25">
                  <c:v>346.80935394371789</c:v>
                </c:pt>
                <c:pt idx="26">
                  <c:v>350</c:v>
                </c:pt>
                <c:pt idx="27">
                  <c:v>350</c:v>
                </c:pt>
                <c:pt idx="28">
                  <c:v>350</c:v>
                </c:pt>
                <c:pt idx="29">
                  <c:v>350</c:v>
                </c:pt>
                <c:pt idx="30">
                  <c:v>350</c:v>
                </c:pt>
                <c:pt idx="31">
                  <c:v>350</c:v>
                </c:pt>
                <c:pt idx="32">
                  <c:v>350</c:v>
                </c:pt>
                <c:pt idx="33">
                  <c:v>350</c:v>
                </c:pt>
                <c:pt idx="34">
                  <c:v>350</c:v>
                </c:pt>
                <c:pt idx="35">
                  <c:v>350</c:v>
                </c:pt>
                <c:pt idx="36">
                  <c:v>350</c:v>
                </c:pt>
                <c:pt idx="37">
                  <c:v>342.7556013909317</c:v>
                </c:pt>
                <c:pt idx="38">
                  <c:v>333.73571714380182</c:v>
                </c:pt>
                <c:pt idx="39">
                  <c:v>325.17839106319144</c:v>
                </c:pt>
                <c:pt idx="40">
                  <c:v>317.04893128661172</c:v>
                </c:pt>
                <c:pt idx="41">
                  <c:v>309.31603052352369</c:v>
                </c:pt>
                <c:pt idx="42">
                  <c:v>301.95136313010647</c:v>
                </c:pt>
                <c:pt idx="43">
                  <c:v>294.92923840615049</c:v>
                </c:pt>
                <c:pt idx="44">
                  <c:v>288.22630116964706</c:v>
                </c:pt>
                <c:pt idx="45">
                  <c:v>281.82127225476597</c:v>
                </c:pt>
                <c:pt idx="46">
                  <c:v>275.69472285792324</c:v>
                </c:pt>
                <c:pt idx="47">
                  <c:v>269.82887769073346</c:v>
                </c:pt>
                <c:pt idx="48">
                  <c:v>264.20744273884316</c:v>
                </c:pt>
                <c:pt idx="49">
                  <c:v>258.81545411151978</c:v>
                </c:pt>
                <c:pt idx="50">
                  <c:v>253.63914502928941</c:v>
                </c:pt>
                <c:pt idx="51">
                  <c:v>248.66582846008762</c:v>
                </c:pt>
                <c:pt idx="52">
                  <c:v>243.88379329739362</c:v>
                </c:pt>
                <c:pt idx="53">
                  <c:v>239.28221229178243</c:v>
                </c:pt>
                <c:pt idx="54">
                  <c:v>234.85106021230499</c:v>
                </c:pt>
                <c:pt idx="55">
                  <c:v>230.5810409357176</c:v>
                </c:pt>
                <c:pt idx="56">
                  <c:v>226.46352234757981</c:v>
                </c:pt>
                <c:pt idx="57">
                  <c:v>222.49047809586799</c:v>
                </c:pt>
                <c:pt idx="58">
                  <c:v>218.65443537007707</c:v>
                </c:pt>
                <c:pt idx="59">
                  <c:v>214.94842799092328</c:v>
                </c:pt>
                <c:pt idx="60">
                  <c:v>211.36595419107454</c:v>
                </c:pt>
                <c:pt idx="61">
                  <c:v>207.90093854859794</c:v>
                </c:pt>
                <c:pt idx="62">
                  <c:v>204.54769760426564</c:v>
                </c:pt>
                <c:pt idx="63">
                  <c:v>201.30090875340429</c:v>
                </c:pt>
                <c:pt idx="64">
                  <c:v>198.15558205413237</c:v>
                </c:pt>
                <c:pt idx="65">
                  <c:v>195.10703463791492</c:v>
                </c:pt>
                <c:pt idx="66">
                  <c:v>192.15086744643136</c:v>
                </c:pt>
                <c:pt idx="67">
                  <c:v>189.28294405170851</c:v>
                </c:pt>
                <c:pt idx="68">
                  <c:v>186.49937134506573</c:v>
                </c:pt>
                <c:pt idx="69">
                  <c:v>183.79648190528223</c:v>
                </c:pt>
                <c:pt idx="70">
                  <c:v>181.1708178780639</c:v>
                </c:pt>
                <c:pt idx="71">
                  <c:v>178.61911621780948</c:v>
                </c:pt>
                <c:pt idx="72">
                  <c:v>176.13829515922879</c:v>
                </c:pt>
                <c:pt idx="73">
                  <c:v>173.7254418008832</c:v>
                </c:pt>
                <c:pt idx="74">
                  <c:v>171.37780069546585</c:v>
                </c:pt>
                <c:pt idx="75">
                  <c:v>169.09276335285961</c:v>
                </c:pt>
                <c:pt idx="76">
                  <c:v>166.86785857190091</c:v>
                </c:pt>
                <c:pt idx="77">
                  <c:v>164.70074352551259</c:v>
                </c:pt>
                <c:pt idx="78">
                  <c:v>162.58919553159572</c:v>
                </c:pt>
                <c:pt idx="79">
                  <c:v>160.53110444891735</c:v>
                </c:pt>
                <c:pt idx="80">
                  <c:v>158.52446564330586</c:v>
                </c:pt>
                <c:pt idx="81">
                  <c:v>156.56737347487001</c:v>
                </c:pt>
                <c:pt idx="82">
                  <c:v>154.65801526176185</c:v>
                </c:pt>
                <c:pt idx="83">
                  <c:v>152.79466568029483</c:v>
                </c:pt>
                <c:pt idx="84">
                  <c:v>150.97568156505324</c:v>
                </c:pt>
                <c:pt idx="85">
                  <c:v>149.19949707605264</c:v>
                </c:pt>
                <c:pt idx="86">
                  <c:v>147.46461920307524</c:v>
                </c:pt>
                <c:pt idx="87">
                  <c:v>145.76962358005139</c:v>
                </c:pt>
                <c:pt idx="88">
                  <c:v>144.11315058482353</c:v>
                </c:pt>
                <c:pt idx="89">
                  <c:v>142.49390170184799</c:v>
                </c:pt>
                <c:pt idx="90">
                  <c:v>140.91063612738299</c:v>
                </c:pt>
                <c:pt idx="91">
                  <c:v>139.36216759851064</c:v>
                </c:pt>
                <c:pt idx="92">
                  <c:v>137.84736142896162</c:v>
                </c:pt>
                <c:pt idx="93">
                  <c:v>136.36513173617712</c:v>
                </c:pt>
                <c:pt idx="94">
                  <c:v>134.91443884536673</c:v>
                </c:pt>
                <c:pt idx="95">
                  <c:v>133.49428685752073</c:v>
                </c:pt>
                <c:pt idx="96">
                  <c:v>132.10372136942158</c:v>
                </c:pt>
                <c:pt idx="97">
                  <c:v>130.74182733468527</c:v>
                </c:pt>
                <c:pt idx="98">
                  <c:v>129.40772705575989</c:v>
                </c:pt>
                <c:pt idx="99">
                  <c:v>128.1005782976209</c:v>
                </c:pt>
                <c:pt idx="100">
                  <c:v>126.8195725146447</c:v>
                </c:pt>
              </c:numCache>
            </c:numRef>
          </c:val>
          <c:smooth val="0"/>
          <c:extLst>
            <c:ext xmlns:c16="http://schemas.microsoft.com/office/drawing/2014/chart" uri="{C3380CC4-5D6E-409C-BE32-E72D297353CC}">
              <c16:uniqueId val="{0000000B-060B-4F42-A7EB-10F25C34FBD8}"/>
            </c:ext>
          </c:extLst>
        </c:ser>
        <c:ser>
          <c:idx val="3"/>
          <c:order val="3"/>
          <c:spPr>
            <a:ln>
              <a:noFill/>
            </a:ln>
          </c:spPr>
          <c:marker>
            <c:symbol val="x"/>
            <c:size val="10"/>
            <c:spPr>
              <a:pattFill prst="pct5">
                <a:fgClr>
                  <a:schemeClr val="tx1"/>
                </a:fgClr>
                <a:bgClr>
                  <a:schemeClr val="bg1"/>
                </a:bgClr>
              </a:pattFill>
              <a:ln>
                <a:solidFill>
                  <a:srgbClr val="33CC33"/>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Dual'!$CD$110:$CD$210</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C-060B-4F42-A7EB-10F25C34FBD8}"/>
            </c:ext>
          </c:extLst>
        </c:ser>
        <c:ser>
          <c:idx val="4"/>
          <c:order val="4"/>
          <c:spPr>
            <a:ln>
              <a:noFill/>
            </a:ln>
          </c:spPr>
          <c:marker>
            <c:symbol val="x"/>
            <c:size val="10"/>
            <c:spPr>
              <a:pattFill prst="pct5">
                <a:fgClr>
                  <a:schemeClr val="tx1"/>
                </a:fgClr>
                <a:bgClr>
                  <a:schemeClr val="bg1"/>
                </a:bgClr>
              </a:pattFill>
              <a:ln>
                <a:solidFill>
                  <a:srgbClr val="0000FF"/>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Dual'!$CD$5:$CD$105</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D-060B-4F42-A7EB-10F25C34FBD8}"/>
            </c:ext>
          </c:extLst>
        </c:ser>
        <c:ser>
          <c:idx val="5"/>
          <c:order val="5"/>
          <c:spPr>
            <a:ln>
              <a:noFill/>
            </a:ln>
          </c:spPr>
          <c:marker>
            <c:symbol val="x"/>
            <c:size val="10"/>
            <c:spPr>
              <a:pattFill prst="pct5">
                <a:fgClr>
                  <a:schemeClr val="tx1"/>
                </a:fgClr>
                <a:bgClr>
                  <a:schemeClr val="bg1"/>
                </a:bgClr>
              </a:pattFill>
              <a:ln>
                <a:solidFill>
                  <a:srgbClr val="FF0000"/>
                </a:solidFill>
              </a:ln>
            </c:spPr>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Dual'!$CD$216:$CD$316</c:f>
              <c:numCache>
                <c:formatCode>General</c:formatCode>
                <c:ptCount val="10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numCache>
            </c:numRef>
          </c:val>
          <c:smooth val="0"/>
          <c:extLst>
            <c:ext xmlns:c16="http://schemas.microsoft.com/office/drawing/2014/chart" uri="{C3380CC4-5D6E-409C-BE32-E72D297353CC}">
              <c16:uniqueId val="{0000000E-060B-4F42-A7EB-10F25C34FBD8}"/>
            </c:ext>
          </c:extLst>
        </c:ser>
        <c:dLbls>
          <c:showLegendKey val="0"/>
          <c:showVal val="0"/>
          <c:showCatName val="0"/>
          <c:showSerName val="0"/>
          <c:showPercent val="0"/>
          <c:showBubbleSize val="0"/>
        </c:dLbls>
        <c:marker val="1"/>
        <c:smooth val="0"/>
        <c:axId val="129828736"/>
        <c:axId val="129847296"/>
      </c:lineChart>
      <c:lineChart>
        <c:grouping val="standard"/>
        <c:varyColors val="0"/>
        <c:ser>
          <c:idx val="6"/>
          <c:order val="6"/>
          <c:tx>
            <c:v>D1</c:v>
          </c:tx>
          <c:spPr>
            <a:ln w="25400">
              <a:solidFill>
                <a:srgbClr val="0000FF"/>
              </a:solidFill>
              <a:prstDash val="lgDash"/>
            </a:ln>
          </c:spPr>
          <c:marker>
            <c:symbol val="none"/>
          </c:marker>
          <c:val>
            <c:numRef>
              <c:f>'Calculations - Dual'!$AU$5:$AU$105</c:f>
              <c:numCache>
                <c:formatCode>0.000</c:formatCode>
                <c:ptCount val="101"/>
                <c:pt idx="0">
                  <c:v>1.0149999999999999E-2</c:v>
                </c:pt>
                <c:pt idx="1">
                  <c:v>1.4080459770114946E-2</c:v>
                </c:pt>
                <c:pt idx="2">
                  <c:v>2.8160919540229892E-2</c:v>
                </c:pt>
                <c:pt idx="3">
                  <c:v>4.2241379310344836E-2</c:v>
                </c:pt>
                <c:pt idx="4">
                  <c:v>5.6321839080459783E-2</c:v>
                </c:pt>
                <c:pt idx="5">
                  <c:v>7.0402298850574738E-2</c:v>
                </c:pt>
                <c:pt idx="6">
                  <c:v>8.4482758620689671E-2</c:v>
                </c:pt>
                <c:pt idx="7">
                  <c:v>9.8563218390804619E-2</c:v>
                </c:pt>
                <c:pt idx="8">
                  <c:v>0.11264367816091957</c:v>
                </c:pt>
                <c:pt idx="9">
                  <c:v>0.12672413793103449</c:v>
                </c:pt>
                <c:pt idx="10">
                  <c:v>0.14080459770114948</c:v>
                </c:pt>
                <c:pt idx="11">
                  <c:v>0.15488505747126441</c:v>
                </c:pt>
                <c:pt idx="12">
                  <c:v>0.16896551724137934</c:v>
                </c:pt>
                <c:pt idx="13">
                  <c:v>0.18304597701149428</c:v>
                </c:pt>
                <c:pt idx="14">
                  <c:v>0.19712643678160924</c:v>
                </c:pt>
                <c:pt idx="15">
                  <c:v>0.21120689655172417</c:v>
                </c:pt>
                <c:pt idx="16">
                  <c:v>0.22528735632183913</c:v>
                </c:pt>
                <c:pt idx="17">
                  <c:v>0.23936781609195404</c:v>
                </c:pt>
                <c:pt idx="18">
                  <c:v>0.25949869411852389</c:v>
                </c:pt>
                <c:pt idx="19">
                  <c:v>0.28142120640510609</c:v>
                </c:pt>
                <c:pt idx="20">
                  <c:v>0.30392849009402811</c:v>
                </c:pt>
                <c:pt idx="21">
                  <c:v>0.32700572880842421</c:v>
                </c:pt>
                <c:pt idx="22">
                  <c:v>0.35063917858377197</c:v>
                </c:pt>
                <c:pt idx="23">
                  <c:v>0.37481604439948235</c:v>
                </c:pt>
                <c:pt idx="24">
                  <c:v>0.39952437574316307</c:v>
                </c:pt>
                <c:pt idx="25">
                  <c:v>0.42475297759319885</c:v>
                </c:pt>
                <c:pt idx="26">
                  <c:v>0.43714985988788785</c:v>
                </c:pt>
                <c:pt idx="27">
                  <c:v>0.44547727214752497</c:v>
                </c:pt>
                <c:pt idx="28">
                  <c:v>0.45365184888855026</c:v>
                </c:pt>
                <c:pt idx="29">
                  <c:v>0.46168170853955215</c:v>
                </c:pt>
                <c:pt idx="30">
                  <c:v>0.46957427527495577</c:v>
                </c:pt>
                <c:pt idx="31">
                  <c:v>0.47733635939450497</c:v>
                </c:pt>
                <c:pt idx="32">
                  <c:v>0.4849742261192857</c:v>
                </c:pt>
                <c:pt idx="33">
                  <c:v>0.49223405551050869</c:v>
                </c:pt>
                <c:pt idx="34">
                  <c:v>0.48494129597250174</c:v>
                </c:pt>
                <c:pt idx="35">
                  <c:v>0.47796335957425035</c:v>
                </c:pt>
                <c:pt idx="36">
                  <c:v>0.4712782281065992</c:v>
                </c:pt>
                <c:pt idx="37">
                  <c:v>0.46486598063872847</c:v>
                </c:pt>
                <c:pt idx="38">
                  <c:v>0.45870854346864121</c:v>
                </c:pt>
                <c:pt idx="39">
                  <c:v>0.45278947557145466</c:v>
                </c:pt>
                <c:pt idx="40">
                  <c:v>0.44709378373957059</c:v>
                </c:pt>
                <c:pt idx="41">
                  <c:v>0.44160776267762514</c:v>
                </c:pt>
                <c:pt idx="42">
                  <c:v>0.43631885616628291</c:v>
                </c:pt>
                <c:pt idx="43">
                  <c:v>0.43121553609083707</c:v>
                </c:pt>
                <c:pt idx="44">
                  <c:v>0.42628719667994019</c:v>
                </c:pt>
                <c:pt idx="45">
                  <c:v>0.42152406174480306</c:v>
                </c:pt>
                <c:pt idx="46">
                  <c:v>0.41691710307150487</c:v>
                </c:pt>
                <c:pt idx="47">
                  <c:v>0.41245796841547133</c:v>
                </c:pt>
                <c:pt idx="48">
                  <c:v>0.40813891779083245</c:v>
                </c:pt>
                <c:pt idx="49">
                  <c:v>0.40395276694851351</c:v>
                </c:pt>
                <c:pt idx="50">
                  <c:v>0.39989283710370815</c:v>
                </c:pt>
                <c:pt idx="51">
                  <c:v>0.39595291011220812</c:v>
                </c:pt>
                <c:pt idx="52">
                  <c:v>0.50515463917525771</c:v>
                </c:pt>
                <c:pt idx="53">
                  <c:v>0.50515463917525771</c:v>
                </c:pt>
                <c:pt idx="54">
                  <c:v>0.50515463917525771</c:v>
                </c:pt>
                <c:pt idx="55">
                  <c:v>0.50515463917525771</c:v>
                </c:pt>
                <c:pt idx="56">
                  <c:v>0.50515463917525771</c:v>
                </c:pt>
                <c:pt idx="57">
                  <c:v>0.50515463917525771</c:v>
                </c:pt>
                <c:pt idx="58">
                  <c:v>0.50515463917525771</c:v>
                </c:pt>
                <c:pt idx="59">
                  <c:v>0.50515463917525771</c:v>
                </c:pt>
                <c:pt idx="60">
                  <c:v>0.50515463917525771</c:v>
                </c:pt>
                <c:pt idx="61">
                  <c:v>0.5051546391752576</c:v>
                </c:pt>
                <c:pt idx="62">
                  <c:v>0.50515463917525771</c:v>
                </c:pt>
                <c:pt idx="63">
                  <c:v>0.50515463917525771</c:v>
                </c:pt>
                <c:pt idx="64">
                  <c:v>0.50515463917525782</c:v>
                </c:pt>
                <c:pt idx="65">
                  <c:v>0.50515463917525771</c:v>
                </c:pt>
                <c:pt idx="66">
                  <c:v>0.50515463917525782</c:v>
                </c:pt>
                <c:pt idx="67">
                  <c:v>0.5051546391752576</c:v>
                </c:pt>
                <c:pt idx="68">
                  <c:v>0.50515463917525771</c:v>
                </c:pt>
                <c:pt idx="69">
                  <c:v>0.50515463917525782</c:v>
                </c:pt>
                <c:pt idx="70">
                  <c:v>0.50515463917525782</c:v>
                </c:pt>
                <c:pt idx="71">
                  <c:v>0.5051546391752576</c:v>
                </c:pt>
                <c:pt idx="72">
                  <c:v>0.50515463917525771</c:v>
                </c:pt>
                <c:pt idx="73">
                  <c:v>0.50515463917525771</c:v>
                </c:pt>
                <c:pt idx="74">
                  <c:v>0.50515463917525782</c:v>
                </c:pt>
                <c:pt idx="75">
                  <c:v>0.50515463917525771</c:v>
                </c:pt>
                <c:pt idx="76">
                  <c:v>0.50515463917525771</c:v>
                </c:pt>
                <c:pt idx="77">
                  <c:v>0.50515463917525771</c:v>
                </c:pt>
                <c:pt idx="78">
                  <c:v>0.50515463917525771</c:v>
                </c:pt>
                <c:pt idx="79">
                  <c:v>0.50515463917525771</c:v>
                </c:pt>
                <c:pt idx="80">
                  <c:v>0.5051546391752576</c:v>
                </c:pt>
                <c:pt idx="81">
                  <c:v>0.5051546391752576</c:v>
                </c:pt>
                <c:pt idx="82">
                  <c:v>0.50515463917525771</c:v>
                </c:pt>
                <c:pt idx="83">
                  <c:v>0.50515463917525771</c:v>
                </c:pt>
                <c:pt idx="84">
                  <c:v>0.50515463917525771</c:v>
                </c:pt>
                <c:pt idx="85">
                  <c:v>0.5051546391752576</c:v>
                </c:pt>
                <c:pt idx="86">
                  <c:v>0.50515463917525771</c:v>
                </c:pt>
                <c:pt idx="87">
                  <c:v>0.50515463917525771</c:v>
                </c:pt>
                <c:pt idx="88">
                  <c:v>0.50515463917525771</c:v>
                </c:pt>
                <c:pt idx="89">
                  <c:v>0.50515463917525771</c:v>
                </c:pt>
                <c:pt idx="90">
                  <c:v>0.50515463917525771</c:v>
                </c:pt>
                <c:pt idx="91">
                  <c:v>0.50515463917525771</c:v>
                </c:pt>
                <c:pt idx="92">
                  <c:v>0.50515463917525782</c:v>
                </c:pt>
                <c:pt idx="93">
                  <c:v>0.50515463917525782</c:v>
                </c:pt>
                <c:pt idx="94">
                  <c:v>0.50515463917525771</c:v>
                </c:pt>
                <c:pt idx="95">
                  <c:v>0.50515463917525771</c:v>
                </c:pt>
                <c:pt idx="96">
                  <c:v>0.50515463917525771</c:v>
                </c:pt>
                <c:pt idx="97">
                  <c:v>0.50515463917525782</c:v>
                </c:pt>
                <c:pt idx="98">
                  <c:v>0.50515463917525771</c:v>
                </c:pt>
                <c:pt idx="99">
                  <c:v>0.50515463917525771</c:v>
                </c:pt>
                <c:pt idx="100">
                  <c:v>0.50515463917525771</c:v>
                </c:pt>
              </c:numCache>
            </c:numRef>
          </c:val>
          <c:smooth val="0"/>
          <c:extLst>
            <c:ext xmlns:c16="http://schemas.microsoft.com/office/drawing/2014/chart" uri="{C3380CC4-5D6E-409C-BE32-E72D297353CC}">
              <c16:uniqueId val="{0000000F-060B-4F42-A7EB-10F25C34FBD8}"/>
            </c:ext>
          </c:extLst>
        </c:ser>
        <c:ser>
          <c:idx val="7"/>
          <c:order val="7"/>
          <c:spPr>
            <a:ln w="25400">
              <a:solidFill>
                <a:srgbClr val="00B050"/>
              </a:solidFill>
              <a:prstDash val="dash"/>
            </a:ln>
          </c:spPr>
          <c:marker>
            <c:symbol val="none"/>
          </c:marker>
          <c:val>
            <c:numRef>
              <c:f>'Calculations - Dual'!$AU$110:$AU$210</c:f>
              <c:numCache>
                <c:formatCode>0.000</c:formatCode>
                <c:ptCount val="101"/>
                <c:pt idx="0">
                  <c:v>1.1277777777777775E-2</c:v>
                </c:pt>
                <c:pt idx="1">
                  <c:v>1.5644955300127716E-2</c:v>
                </c:pt>
                <c:pt idx="2">
                  <c:v>3.1289910600255433E-2</c:v>
                </c:pt>
                <c:pt idx="3">
                  <c:v>4.6934865900383149E-2</c:v>
                </c:pt>
                <c:pt idx="4">
                  <c:v>6.2579821200510866E-2</c:v>
                </c:pt>
                <c:pt idx="5">
                  <c:v>7.8224776500638582E-2</c:v>
                </c:pt>
                <c:pt idx="6">
                  <c:v>9.3869731800766298E-2</c:v>
                </c:pt>
                <c:pt idx="7">
                  <c:v>0.109514687100894</c:v>
                </c:pt>
                <c:pt idx="8">
                  <c:v>0.12515964240102173</c:v>
                </c:pt>
                <c:pt idx="9">
                  <c:v>0.14080459770114942</c:v>
                </c:pt>
                <c:pt idx="10">
                  <c:v>0.15644955300127716</c:v>
                </c:pt>
                <c:pt idx="11">
                  <c:v>0.17209450830140488</c:v>
                </c:pt>
                <c:pt idx="12">
                  <c:v>0.1877394636015326</c:v>
                </c:pt>
                <c:pt idx="13">
                  <c:v>0.20338441890166029</c:v>
                </c:pt>
                <c:pt idx="14">
                  <c:v>0.219029374201788</c:v>
                </c:pt>
                <c:pt idx="15">
                  <c:v>0.23467432950191572</c:v>
                </c:pt>
                <c:pt idx="16">
                  <c:v>0.25031928480204346</c:v>
                </c:pt>
                <c:pt idx="17">
                  <c:v>0.26596424010217112</c:v>
                </c:pt>
                <c:pt idx="18">
                  <c:v>0.28833188235391544</c:v>
                </c:pt>
                <c:pt idx="19">
                  <c:v>0.3126902293390067</c:v>
                </c:pt>
                <c:pt idx="20">
                  <c:v>0.33769832232669789</c:v>
                </c:pt>
                <c:pt idx="21">
                  <c:v>0.36333969867602695</c:v>
                </c:pt>
                <c:pt idx="22">
                  <c:v>0.38959908731530218</c:v>
                </c:pt>
                <c:pt idx="23">
                  <c:v>0.41646227155498039</c:v>
                </c:pt>
                <c:pt idx="24">
                  <c:v>0.44391597304795899</c:v>
                </c:pt>
                <c:pt idx="25">
                  <c:v>0.47194775288133201</c:v>
                </c:pt>
                <c:pt idx="26">
                  <c:v>0.48572206654209765</c:v>
                </c:pt>
                <c:pt idx="27">
                  <c:v>0.49497474683058329</c:v>
                </c:pt>
                <c:pt idx="28">
                  <c:v>0.50405760987616699</c:v>
                </c:pt>
                <c:pt idx="29">
                  <c:v>0.51297967615505791</c:v>
                </c:pt>
                <c:pt idx="30">
                  <c:v>0.5142711194199443</c:v>
                </c:pt>
                <c:pt idx="31">
                  <c:v>0.5314533622559654</c:v>
                </c:pt>
                <c:pt idx="32">
                  <c:v>0.53145336225596529</c:v>
                </c:pt>
                <c:pt idx="33">
                  <c:v>0.53145336225596518</c:v>
                </c:pt>
                <c:pt idx="34">
                  <c:v>0.53145336225596529</c:v>
                </c:pt>
                <c:pt idx="35">
                  <c:v>0.53145336225596529</c:v>
                </c:pt>
                <c:pt idx="36">
                  <c:v>0.53145336225596529</c:v>
                </c:pt>
                <c:pt idx="37">
                  <c:v>0.53145336225596518</c:v>
                </c:pt>
                <c:pt idx="38">
                  <c:v>0.53145336225596518</c:v>
                </c:pt>
                <c:pt idx="39">
                  <c:v>0.53145336225596529</c:v>
                </c:pt>
                <c:pt idx="40">
                  <c:v>0.53145336225596529</c:v>
                </c:pt>
                <c:pt idx="41">
                  <c:v>0.5314533622559654</c:v>
                </c:pt>
                <c:pt idx="42">
                  <c:v>0.53145336225596529</c:v>
                </c:pt>
                <c:pt idx="43">
                  <c:v>0.53145336225596518</c:v>
                </c:pt>
                <c:pt idx="44">
                  <c:v>0.53145336225596529</c:v>
                </c:pt>
                <c:pt idx="45">
                  <c:v>0.53145336225596529</c:v>
                </c:pt>
                <c:pt idx="46">
                  <c:v>0.53145336225596529</c:v>
                </c:pt>
                <c:pt idx="47">
                  <c:v>0.53145336225596529</c:v>
                </c:pt>
                <c:pt idx="48">
                  <c:v>0.53145336225596529</c:v>
                </c:pt>
                <c:pt idx="49">
                  <c:v>0.53145336225596529</c:v>
                </c:pt>
                <c:pt idx="50">
                  <c:v>0.53145336225596518</c:v>
                </c:pt>
                <c:pt idx="51">
                  <c:v>0.53145336225596529</c:v>
                </c:pt>
                <c:pt idx="52">
                  <c:v>0.5314533622559654</c:v>
                </c:pt>
                <c:pt idx="53">
                  <c:v>0.53145336225596529</c:v>
                </c:pt>
                <c:pt idx="54">
                  <c:v>0.53145336225596529</c:v>
                </c:pt>
                <c:pt idx="55">
                  <c:v>0.53145336225596529</c:v>
                </c:pt>
                <c:pt idx="56">
                  <c:v>0.5314533622559654</c:v>
                </c:pt>
                <c:pt idx="57">
                  <c:v>0.53145336225596518</c:v>
                </c:pt>
                <c:pt idx="58">
                  <c:v>0.53145336225596529</c:v>
                </c:pt>
                <c:pt idx="59">
                  <c:v>0.53145336225596529</c:v>
                </c:pt>
                <c:pt idx="60">
                  <c:v>0.5314533622559654</c:v>
                </c:pt>
                <c:pt idx="61">
                  <c:v>0.5314533622559654</c:v>
                </c:pt>
                <c:pt idx="62">
                  <c:v>0.5314533622559654</c:v>
                </c:pt>
                <c:pt idx="63">
                  <c:v>0.53145336225596518</c:v>
                </c:pt>
                <c:pt idx="64">
                  <c:v>0.53145336225596529</c:v>
                </c:pt>
                <c:pt idx="65">
                  <c:v>0.5314533622559654</c:v>
                </c:pt>
                <c:pt idx="66">
                  <c:v>0.53145336225596518</c:v>
                </c:pt>
                <c:pt idx="67">
                  <c:v>0.53145336225596529</c:v>
                </c:pt>
                <c:pt idx="68">
                  <c:v>0.53145336225596529</c:v>
                </c:pt>
                <c:pt idx="69">
                  <c:v>0.53145336225596529</c:v>
                </c:pt>
                <c:pt idx="70">
                  <c:v>0.53145336225596529</c:v>
                </c:pt>
                <c:pt idx="71">
                  <c:v>0.5314533622559654</c:v>
                </c:pt>
                <c:pt idx="72">
                  <c:v>0.53145336225596529</c:v>
                </c:pt>
                <c:pt idx="73">
                  <c:v>0.53145336225596518</c:v>
                </c:pt>
                <c:pt idx="74">
                  <c:v>0.53145336225596518</c:v>
                </c:pt>
                <c:pt idx="75">
                  <c:v>0.53145336225596529</c:v>
                </c:pt>
                <c:pt idx="76">
                  <c:v>0.53145336225596518</c:v>
                </c:pt>
                <c:pt idx="77">
                  <c:v>0.53145336225596518</c:v>
                </c:pt>
                <c:pt idx="78">
                  <c:v>0.53145336225596529</c:v>
                </c:pt>
                <c:pt idx="79">
                  <c:v>0.53145336225596518</c:v>
                </c:pt>
                <c:pt idx="80">
                  <c:v>0.53145336225596529</c:v>
                </c:pt>
                <c:pt idx="81">
                  <c:v>0.53145336225596529</c:v>
                </c:pt>
                <c:pt idx="82">
                  <c:v>0.5314533622559654</c:v>
                </c:pt>
                <c:pt idx="83">
                  <c:v>0.53145336225596529</c:v>
                </c:pt>
                <c:pt idx="84">
                  <c:v>0.53145336225596529</c:v>
                </c:pt>
                <c:pt idx="85">
                  <c:v>0.5314533622559654</c:v>
                </c:pt>
                <c:pt idx="86">
                  <c:v>0.53145336225596518</c:v>
                </c:pt>
                <c:pt idx="87">
                  <c:v>0.53145336225596529</c:v>
                </c:pt>
                <c:pt idx="88">
                  <c:v>0.53145336225596529</c:v>
                </c:pt>
                <c:pt idx="89">
                  <c:v>0.53145336225596529</c:v>
                </c:pt>
                <c:pt idx="90">
                  <c:v>0.53145336225596529</c:v>
                </c:pt>
                <c:pt idx="91">
                  <c:v>0.53145336225596529</c:v>
                </c:pt>
                <c:pt idx="92">
                  <c:v>0.53145336225596529</c:v>
                </c:pt>
                <c:pt idx="93">
                  <c:v>0.53145336225596529</c:v>
                </c:pt>
                <c:pt idx="94">
                  <c:v>0.53145336225596529</c:v>
                </c:pt>
                <c:pt idx="95">
                  <c:v>0.53145336225596529</c:v>
                </c:pt>
                <c:pt idx="96">
                  <c:v>0.53145336225596529</c:v>
                </c:pt>
                <c:pt idx="97">
                  <c:v>0.53145336225596529</c:v>
                </c:pt>
                <c:pt idx="98">
                  <c:v>0.53145336225596529</c:v>
                </c:pt>
                <c:pt idx="99">
                  <c:v>0.53145336225596529</c:v>
                </c:pt>
                <c:pt idx="100">
                  <c:v>0.53145336225596518</c:v>
                </c:pt>
              </c:numCache>
            </c:numRef>
          </c:val>
          <c:smooth val="0"/>
          <c:extLst>
            <c:ext xmlns:c16="http://schemas.microsoft.com/office/drawing/2014/chart" uri="{C3380CC4-5D6E-409C-BE32-E72D297353CC}">
              <c16:uniqueId val="{00000010-060B-4F42-A7EB-10F25C34FBD8}"/>
            </c:ext>
          </c:extLst>
        </c:ser>
        <c:ser>
          <c:idx val="8"/>
          <c:order val="8"/>
          <c:spPr>
            <a:ln w="25400">
              <a:solidFill>
                <a:srgbClr val="FF0000"/>
              </a:solidFill>
            </a:ln>
          </c:spPr>
          <c:marker>
            <c:symbol val="none"/>
          </c:marker>
          <c:val>
            <c:numRef>
              <c:f>'Calculations - Dual'!$AU$216:$AU$316</c:f>
              <c:numCache>
                <c:formatCode>0.000</c:formatCode>
                <c:ptCount val="101"/>
                <c:pt idx="0">
                  <c:v>9.2272727272727263E-3</c:v>
                </c:pt>
                <c:pt idx="1">
                  <c:v>1.280041797283177E-2</c:v>
                </c:pt>
                <c:pt idx="2">
                  <c:v>2.5600835945663539E-2</c:v>
                </c:pt>
                <c:pt idx="3">
                  <c:v>3.8401253918495304E-2</c:v>
                </c:pt>
                <c:pt idx="4">
                  <c:v>5.1201671891327079E-2</c:v>
                </c:pt>
                <c:pt idx="5">
                  <c:v>6.4002089864158854E-2</c:v>
                </c:pt>
                <c:pt idx="6">
                  <c:v>7.6802507836990608E-2</c:v>
                </c:pt>
                <c:pt idx="7">
                  <c:v>8.9602925809822376E-2</c:v>
                </c:pt>
                <c:pt idx="8">
                  <c:v>0.10240334378265416</c:v>
                </c:pt>
                <c:pt idx="9">
                  <c:v>0.11520376175548591</c:v>
                </c:pt>
                <c:pt idx="10">
                  <c:v>0.12800417972831771</c:v>
                </c:pt>
                <c:pt idx="11">
                  <c:v>0.14080459770114945</c:v>
                </c:pt>
                <c:pt idx="12">
                  <c:v>0.15360501567398122</c:v>
                </c:pt>
                <c:pt idx="13">
                  <c:v>0.16640543364681296</c:v>
                </c:pt>
                <c:pt idx="14">
                  <c:v>0.17920585161964475</c:v>
                </c:pt>
                <c:pt idx="15">
                  <c:v>0.19200626959247652</c:v>
                </c:pt>
                <c:pt idx="16">
                  <c:v>0.20480668756530832</c:v>
                </c:pt>
                <c:pt idx="17">
                  <c:v>0.21760710553814003</c:v>
                </c:pt>
                <c:pt idx="18">
                  <c:v>0.23590790374411258</c:v>
                </c:pt>
                <c:pt idx="19">
                  <c:v>0.25583746036827826</c:v>
                </c:pt>
                <c:pt idx="20">
                  <c:v>0.27629862735820737</c:v>
                </c:pt>
                <c:pt idx="21">
                  <c:v>0.29727793528038565</c:v>
                </c:pt>
                <c:pt idx="22">
                  <c:v>0.31876288962161087</c:v>
                </c:pt>
                <c:pt idx="23">
                  <c:v>0.34074185854498401</c:v>
                </c:pt>
                <c:pt idx="24">
                  <c:v>0.36320397794833009</c:v>
                </c:pt>
                <c:pt idx="25">
                  <c:v>0.38613907053927166</c:v>
                </c:pt>
                <c:pt idx="26">
                  <c:v>0.39740896353444355</c:v>
                </c:pt>
                <c:pt idx="27">
                  <c:v>0.40497933831593186</c:v>
                </c:pt>
                <c:pt idx="28">
                  <c:v>0.41241077171686397</c:v>
                </c:pt>
                <c:pt idx="29">
                  <c:v>0.41971064412686565</c:v>
                </c:pt>
                <c:pt idx="30">
                  <c:v>0.42688570479541438</c:v>
                </c:pt>
                <c:pt idx="31">
                  <c:v>0.43394214490409544</c:v>
                </c:pt>
                <c:pt idx="32">
                  <c:v>0.4408856601084416</c:v>
                </c:pt>
                <c:pt idx="33">
                  <c:v>0.44772150434678193</c:v>
                </c:pt>
                <c:pt idx="34">
                  <c:v>0.45445453636181765</c:v>
                </c:pt>
                <c:pt idx="35">
                  <c:v>0.46108926010602752</c:v>
                </c:pt>
                <c:pt idx="36">
                  <c:v>0.46762985998587947</c:v>
                </c:pt>
                <c:pt idx="37">
                  <c:v>0.46426758552467928</c:v>
                </c:pt>
                <c:pt idx="38">
                  <c:v>0.48133595284872305</c:v>
                </c:pt>
                <c:pt idx="39">
                  <c:v>0.48133595284872299</c:v>
                </c:pt>
                <c:pt idx="40">
                  <c:v>0.48133595284872299</c:v>
                </c:pt>
                <c:pt idx="41">
                  <c:v>0.48133595284872305</c:v>
                </c:pt>
                <c:pt idx="42">
                  <c:v>0.48133595284872305</c:v>
                </c:pt>
                <c:pt idx="43">
                  <c:v>0.48133595284872305</c:v>
                </c:pt>
                <c:pt idx="44">
                  <c:v>0.48133595284872305</c:v>
                </c:pt>
                <c:pt idx="45">
                  <c:v>0.48133595284872288</c:v>
                </c:pt>
                <c:pt idx="46">
                  <c:v>0.48133595284872299</c:v>
                </c:pt>
                <c:pt idx="47">
                  <c:v>0.48133595284872305</c:v>
                </c:pt>
                <c:pt idx="48">
                  <c:v>0.48133595284872299</c:v>
                </c:pt>
                <c:pt idx="49">
                  <c:v>0.48133595284872299</c:v>
                </c:pt>
                <c:pt idx="50">
                  <c:v>0.48133595284872299</c:v>
                </c:pt>
                <c:pt idx="51">
                  <c:v>0.48133595284872299</c:v>
                </c:pt>
                <c:pt idx="52">
                  <c:v>0.48133595284872299</c:v>
                </c:pt>
                <c:pt idx="53">
                  <c:v>0.48133595284872305</c:v>
                </c:pt>
                <c:pt idx="54">
                  <c:v>0.48133595284872299</c:v>
                </c:pt>
                <c:pt idx="55">
                  <c:v>0.48133595284872299</c:v>
                </c:pt>
                <c:pt idx="56">
                  <c:v>0.48133595284872321</c:v>
                </c:pt>
                <c:pt idx="57">
                  <c:v>0.48133595284872299</c:v>
                </c:pt>
                <c:pt idx="58">
                  <c:v>0.48133595284872288</c:v>
                </c:pt>
                <c:pt idx="59">
                  <c:v>0.48133595284872299</c:v>
                </c:pt>
                <c:pt idx="60">
                  <c:v>0.48133595284872299</c:v>
                </c:pt>
                <c:pt idx="61">
                  <c:v>0.48133595284872305</c:v>
                </c:pt>
                <c:pt idx="62">
                  <c:v>0.48133595284872299</c:v>
                </c:pt>
                <c:pt idx="63">
                  <c:v>0.48133595284872299</c:v>
                </c:pt>
                <c:pt idx="64">
                  <c:v>0.48133595284872305</c:v>
                </c:pt>
                <c:pt idx="65">
                  <c:v>0.48133595284872299</c:v>
                </c:pt>
                <c:pt idx="66">
                  <c:v>0.48133595284872305</c:v>
                </c:pt>
                <c:pt idx="67">
                  <c:v>0.48133595284872294</c:v>
                </c:pt>
                <c:pt idx="68">
                  <c:v>0.48133595284872294</c:v>
                </c:pt>
                <c:pt idx="69">
                  <c:v>0.48133595284872294</c:v>
                </c:pt>
                <c:pt idx="70">
                  <c:v>0.48133595284872294</c:v>
                </c:pt>
                <c:pt idx="71">
                  <c:v>0.48133595284872294</c:v>
                </c:pt>
                <c:pt idx="72">
                  <c:v>0.48133595284872288</c:v>
                </c:pt>
                <c:pt idx="73">
                  <c:v>0.48133595284872294</c:v>
                </c:pt>
                <c:pt idx="74">
                  <c:v>0.4813359528487231</c:v>
                </c:pt>
                <c:pt idx="75">
                  <c:v>0.4813359528487231</c:v>
                </c:pt>
                <c:pt idx="76">
                  <c:v>0.48133595284872305</c:v>
                </c:pt>
                <c:pt idx="77">
                  <c:v>0.48133595284872294</c:v>
                </c:pt>
                <c:pt idx="78">
                  <c:v>0.48133595284872299</c:v>
                </c:pt>
                <c:pt idx="79">
                  <c:v>0.48133595284872299</c:v>
                </c:pt>
                <c:pt idx="80">
                  <c:v>0.48133595284872299</c:v>
                </c:pt>
                <c:pt idx="81">
                  <c:v>0.48133595284872299</c:v>
                </c:pt>
                <c:pt idx="82">
                  <c:v>0.48133595284872305</c:v>
                </c:pt>
                <c:pt idx="83">
                  <c:v>0.48133595284872299</c:v>
                </c:pt>
                <c:pt idx="84">
                  <c:v>0.48133595284872305</c:v>
                </c:pt>
                <c:pt idx="85">
                  <c:v>0.48133595284872305</c:v>
                </c:pt>
                <c:pt idx="86">
                  <c:v>0.48133595284872305</c:v>
                </c:pt>
                <c:pt idx="87">
                  <c:v>0.48133595284872305</c:v>
                </c:pt>
                <c:pt idx="88">
                  <c:v>0.48133595284872305</c:v>
                </c:pt>
                <c:pt idx="89">
                  <c:v>0.4813359528487231</c:v>
                </c:pt>
                <c:pt idx="90">
                  <c:v>0.48133595284872288</c:v>
                </c:pt>
                <c:pt idx="91">
                  <c:v>0.48133595284872294</c:v>
                </c:pt>
                <c:pt idx="92">
                  <c:v>0.48133595284872299</c:v>
                </c:pt>
                <c:pt idx="93">
                  <c:v>0.48133595284872305</c:v>
                </c:pt>
                <c:pt idx="94">
                  <c:v>0.48133595284872305</c:v>
                </c:pt>
                <c:pt idx="95">
                  <c:v>0.48133595284872299</c:v>
                </c:pt>
                <c:pt idx="96">
                  <c:v>0.48133595284872299</c:v>
                </c:pt>
                <c:pt idx="97">
                  <c:v>0.48133595284872305</c:v>
                </c:pt>
                <c:pt idx="98">
                  <c:v>0.48133595284872299</c:v>
                </c:pt>
                <c:pt idx="99">
                  <c:v>0.48133595284872305</c:v>
                </c:pt>
                <c:pt idx="100">
                  <c:v>0.48133595284872299</c:v>
                </c:pt>
              </c:numCache>
            </c:numRef>
          </c:val>
          <c:smooth val="0"/>
          <c:extLst>
            <c:ext xmlns:c16="http://schemas.microsoft.com/office/drawing/2014/chart" uri="{C3380CC4-5D6E-409C-BE32-E72D297353CC}">
              <c16:uniqueId val="{00000011-060B-4F42-A7EB-10F25C34FBD8}"/>
            </c:ext>
          </c:extLst>
        </c:ser>
        <c:dLbls>
          <c:showLegendKey val="0"/>
          <c:showVal val="0"/>
          <c:showCatName val="0"/>
          <c:showSerName val="0"/>
          <c:showPercent val="0"/>
          <c:showBubbleSize val="0"/>
        </c:dLbls>
        <c:marker val="1"/>
        <c:smooth val="0"/>
        <c:axId val="129851392"/>
        <c:axId val="129849216"/>
      </c:lineChart>
      <c:catAx>
        <c:axId val="129828736"/>
        <c:scaling>
          <c:orientation val="minMax"/>
        </c:scaling>
        <c:delete val="0"/>
        <c:axPos val="b"/>
        <c:majorGridlines>
          <c:spPr>
            <a:ln w="15875">
              <a:solidFill>
                <a:srgbClr val="969696"/>
              </a:solidFill>
              <a:prstDash val="sysDash"/>
            </a:ln>
          </c:spPr>
        </c:majorGridlines>
        <c:title>
          <c:tx>
            <c:rich>
              <a:bodyPr/>
              <a:lstStyle/>
              <a:p>
                <a:pPr>
                  <a:defRPr sz="1100" b="1" i="0" u="none" strike="noStrike" baseline="0">
                    <a:solidFill>
                      <a:schemeClr val="tx1"/>
                    </a:solidFill>
                    <a:latin typeface="Arial" pitchFamily="34" charset="0"/>
                    <a:ea typeface="Calibri"/>
                    <a:cs typeface="Arial" pitchFamily="34" charset="0"/>
                  </a:defRPr>
                </a:pPr>
                <a:r>
                  <a:rPr lang="en-US" sz="1600" b="1" i="0" baseline="0">
                    <a:effectLst/>
                  </a:rPr>
                  <a:t>% Total Rated Output Power</a:t>
                </a:r>
                <a:endParaRPr lang="en-US" sz="1100">
                  <a:effectLst/>
                </a:endParaRPr>
              </a:p>
            </c:rich>
          </c:tx>
          <c:layout>
            <c:manualLayout>
              <c:xMode val="edge"/>
              <c:yMode val="edge"/>
              <c:x val="0.38070688614495507"/>
              <c:y val="0.93853774450069472"/>
            </c:manualLayout>
          </c:layout>
          <c:overlay val="0"/>
          <c:spPr>
            <a:noFill/>
            <a:ln w="25400">
              <a:noFill/>
            </a:ln>
          </c:spPr>
        </c:title>
        <c:numFmt formatCode="General" sourceLinked="1"/>
        <c:majorTickMark val="in"/>
        <c:minorTickMark val="in"/>
        <c:tickLblPos val="nextTo"/>
        <c:spPr>
          <a:ln w="3175">
            <a:solidFill>
              <a:schemeClr val="tx1"/>
            </a:solidFill>
            <a:prstDash val="solid"/>
          </a:ln>
        </c:spPr>
        <c:txPr>
          <a:bodyPr rot="0" vert="horz"/>
          <a:lstStyle/>
          <a:p>
            <a:pPr>
              <a:defRPr sz="1400" b="1" i="0" u="none" strike="noStrike" baseline="0">
                <a:solidFill>
                  <a:schemeClr val="tx1"/>
                </a:solidFill>
                <a:latin typeface="Arial" pitchFamily="34" charset="0"/>
                <a:ea typeface="Calibri"/>
                <a:cs typeface="Arial" pitchFamily="34" charset="0"/>
              </a:defRPr>
            </a:pPr>
            <a:endParaRPr lang="ja-JP"/>
          </a:p>
        </c:txPr>
        <c:crossAx val="129847296"/>
        <c:crosses val="autoZero"/>
        <c:auto val="1"/>
        <c:lblAlgn val="ctr"/>
        <c:lblOffset val="100"/>
        <c:tickLblSkip val="20"/>
        <c:tickMarkSkip val="10"/>
        <c:noMultiLvlLbl val="0"/>
      </c:catAx>
      <c:valAx>
        <c:axId val="129847296"/>
        <c:scaling>
          <c:orientation val="minMax"/>
          <c:max val="400"/>
          <c:min val="0"/>
        </c:scaling>
        <c:delete val="0"/>
        <c:axPos val="l"/>
        <c:majorGridlines>
          <c:spPr>
            <a:ln w="15875">
              <a:solidFill>
                <a:srgbClr val="808080"/>
              </a:solidFill>
              <a:prstDash val="solid"/>
            </a:ln>
          </c:spPr>
        </c:majorGridlines>
        <c:title>
          <c:tx>
            <c:rich>
              <a:bodyPr/>
              <a:lstStyle/>
              <a:p>
                <a:pPr>
                  <a:defRPr sz="1600" b="1" i="0" u="none" strike="noStrike" baseline="0">
                    <a:solidFill>
                      <a:schemeClr val="tx1"/>
                    </a:solidFill>
                    <a:latin typeface="Arial" pitchFamily="34" charset="0"/>
                    <a:ea typeface="Calibri"/>
                    <a:cs typeface="Arial" pitchFamily="34" charset="0"/>
                  </a:defRPr>
                </a:pPr>
                <a:r>
                  <a:rPr lang="en-US" sz="1600" b="1">
                    <a:solidFill>
                      <a:schemeClr val="tx1"/>
                    </a:solidFill>
                    <a:latin typeface="Arial" pitchFamily="34" charset="0"/>
                    <a:cs typeface="Arial" pitchFamily="34" charset="0"/>
                  </a:rPr>
                  <a:t>Switching</a:t>
                </a:r>
                <a:r>
                  <a:rPr lang="en-US" sz="1600" b="1" baseline="0">
                    <a:solidFill>
                      <a:schemeClr val="tx1"/>
                    </a:solidFill>
                    <a:latin typeface="Arial" pitchFamily="34" charset="0"/>
                    <a:cs typeface="Arial" pitchFamily="34" charset="0"/>
                  </a:rPr>
                  <a:t> Frquency (kHz)</a:t>
                </a:r>
                <a:endParaRPr lang="en-US" sz="1600" b="1">
                  <a:solidFill>
                    <a:schemeClr val="tx1"/>
                  </a:solidFill>
                  <a:latin typeface="Arial" pitchFamily="34" charset="0"/>
                  <a:cs typeface="Arial" pitchFamily="34" charset="0"/>
                </a:endParaRPr>
              </a:p>
            </c:rich>
          </c:tx>
          <c:layout>
            <c:manualLayout>
              <c:xMode val="edge"/>
              <c:yMode val="edge"/>
              <c:x val="8.5568128125503556E-3"/>
              <c:y val="0.22463146285493288"/>
            </c:manualLayout>
          </c:layout>
          <c:overlay val="0"/>
          <c:spPr>
            <a:noFill/>
            <a:ln w="25400">
              <a:noFill/>
            </a:ln>
          </c:spPr>
        </c:title>
        <c:numFmt formatCode="#,##0" sourceLinked="0"/>
        <c:majorTickMark val="in"/>
        <c:minorTickMark val="in"/>
        <c:tickLblPos val="nextTo"/>
        <c:spPr>
          <a:ln w="3175">
            <a:solidFill>
              <a:srgbClr val="000000"/>
            </a:solidFill>
            <a:prstDash val="solid"/>
          </a:ln>
        </c:spPr>
        <c:txPr>
          <a:bodyPr rot="0" vert="horz"/>
          <a:lstStyle/>
          <a:p>
            <a:pPr>
              <a:defRPr sz="1600" b="1" i="0" u="none" strike="noStrike" baseline="0">
                <a:solidFill>
                  <a:schemeClr val="tx1"/>
                </a:solidFill>
                <a:latin typeface="Arial" pitchFamily="34" charset="0"/>
                <a:ea typeface="Calibri"/>
                <a:cs typeface="Arial" pitchFamily="34" charset="0"/>
              </a:defRPr>
            </a:pPr>
            <a:endParaRPr lang="ja-JP"/>
          </a:p>
        </c:txPr>
        <c:crossAx val="129828736"/>
        <c:crossesAt val="0"/>
        <c:crossBetween val="between"/>
        <c:majorUnit val="50"/>
        <c:minorUnit val="25"/>
      </c:valAx>
      <c:valAx>
        <c:axId val="129849216"/>
        <c:scaling>
          <c:orientation val="minMax"/>
          <c:max val="0.60000000000000009"/>
        </c:scaling>
        <c:delete val="0"/>
        <c:axPos val="r"/>
        <c:title>
          <c:tx>
            <c:rich>
              <a:bodyPr rot="-5400000" vert="horz"/>
              <a:lstStyle/>
              <a:p>
                <a:pPr>
                  <a:defRPr sz="1600" b="1"/>
                </a:pPr>
                <a:r>
                  <a:rPr lang="en-US" sz="1600" b="1"/>
                  <a:t>Duty Cycle</a:t>
                </a:r>
              </a:p>
            </c:rich>
          </c:tx>
          <c:layout>
            <c:manualLayout>
              <c:xMode val="edge"/>
              <c:yMode val="edge"/>
              <c:x val="0.96331030941631779"/>
              <c:y val="0.35675917128406437"/>
            </c:manualLayout>
          </c:layout>
          <c:overlay val="0"/>
        </c:title>
        <c:numFmt formatCode="General" sourceLinked="0"/>
        <c:majorTickMark val="out"/>
        <c:minorTickMark val="none"/>
        <c:tickLblPos val="nextTo"/>
        <c:txPr>
          <a:bodyPr/>
          <a:lstStyle/>
          <a:p>
            <a:pPr>
              <a:defRPr sz="1400" b="1"/>
            </a:pPr>
            <a:endParaRPr lang="ja-JP"/>
          </a:p>
        </c:txPr>
        <c:crossAx val="129851392"/>
        <c:crosses val="max"/>
        <c:crossBetween val="between"/>
        <c:majorUnit val="0.1"/>
        <c:minorUnit val="5.000000000000001E-2"/>
      </c:valAx>
      <c:catAx>
        <c:axId val="129851392"/>
        <c:scaling>
          <c:orientation val="minMax"/>
        </c:scaling>
        <c:delete val="1"/>
        <c:axPos val="b"/>
        <c:majorTickMark val="out"/>
        <c:minorTickMark val="none"/>
        <c:tickLblPos val="nextTo"/>
        <c:crossAx val="129849216"/>
        <c:crosses val="autoZero"/>
        <c:auto val="1"/>
        <c:lblAlgn val="ctr"/>
        <c:lblOffset val="100"/>
        <c:noMultiLvlLbl val="0"/>
      </c:catAx>
      <c:spPr>
        <a:noFill/>
        <a:ln w="25400">
          <a:noFill/>
        </a:ln>
      </c:spPr>
    </c:plotArea>
    <c:legend>
      <c:legendPos val="t"/>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31430722044239789"/>
          <c:y val="1.5175029628150039E-2"/>
          <c:w val="0.42410841724909248"/>
          <c:h val="5.433576684781775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no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val>
            <c:numRef>
              <c:f>'Calculations - Dual'!$AI$110:$AI$210</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0.29692299558323609</c:v>
                </c:pt>
                <c:pt idx="19">
                  <c:v>0.30505937862946608</c:v>
                </c:pt>
                <c:pt idx="20">
                  <c:v>0.31298431857438069</c:v>
                </c:pt>
                <c:pt idx="21">
                  <c:v>0.32071349029490925</c:v>
                </c:pt>
                <c:pt idx="22">
                  <c:v>0.32826072265931594</c:v>
                </c:pt>
                <c:pt idx="23">
                  <c:v>0.3356382892705923</c:v>
                </c:pt>
                <c:pt idx="24">
                  <c:v>0.34285714285714292</c:v>
                </c:pt>
                <c:pt idx="25">
                  <c:v>0.3499271061118826</c:v>
                </c:pt>
                <c:pt idx="26">
                  <c:v>0.35685702847990852</c:v>
                </c:pt>
                <c:pt idx="27">
                  <c:v>0.36365491603879591</c:v>
                </c:pt>
                <c:pt idx="28">
                  <c:v>0.37032803990902063</c:v>
                </c:pt>
                <c:pt idx="29">
                  <c:v>0.3768830273792263</c:v>
                </c:pt>
                <c:pt idx="30">
                  <c:v>0.38332593899996398</c:v>
                </c:pt>
                <c:pt idx="31">
                  <c:v>0.40933762978875765</c:v>
                </c:pt>
                <c:pt idx="32">
                  <c:v>0.42254206945936273</c:v>
                </c:pt>
                <c:pt idx="33">
                  <c:v>0.43574650912996782</c:v>
                </c:pt>
                <c:pt idx="34">
                  <c:v>0.4489509488005729</c:v>
                </c:pt>
                <c:pt idx="35">
                  <c:v>0.46215538847117787</c:v>
                </c:pt>
                <c:pt idx="36">
                  <c:v>0.47535982814178296</c:v>
                </c:pt>
                <c:pt idx="37">
                  <c:v>0.48856426781238804</c:v>
                </c:pt>
                <c:pt idx="38">
                  <c:v>0.50176870748299329</c:v>
                </c:pt>
                <c:pt idx="39">
                  <c:v>0.51497314715359843</c:v>
                </c:pt>
                <c:pt idx="40">
                  <c:v>0.52817758682420346</c:v>
                </c:pt>
                <c:pt idx="41">
                  <c:v>0.54138202649480838</c:v>
                </c:pt>
                <c:pt idx="42">
                  <c:v>0.55458646616541352</c:v>
                </c:pt>
                <c:pt idx="43">
                  <c:v>0.56779090583601866</c:v>
                </c:pt>
                <c:pt idx="44">
                  <c:v>0.58099534550662368</c:v>
                </c:pt>
                <c:pt idx="45">
                  <c:v>0.59419978517722882</c:v>
                </c:pt>
                <c:pt idx="46">
                  <c:v>0.60740422484783396</c:v>
                </c:pt>
                <c:pt idx="47">
                  <c:v>0.62060866451843899</c:v>
                </c:pt>
                <c:pt idx="48">
                  <c:v>0.63381310418904413</c:v>
                </c:pt>
                <c:pt idx="49">
                  <c:v>0.64701754385964916</c:v>
                </c:pt>
                <c:pt idx="50">
                  <c:v>0.6602219835302543</c:v>
                </c:pt>
                <c:pt idx="51">
                  <c:v>0.67342642320085944</c:v>
                </c:pt>
                <c:pt idx="52">
                  <c:v>0.68663086287146446</c:v>
                </c:pt>
                <c:pt idx="53">
                  <c:v>0.6998353025420696</c:v>
                </c:pt>
                <c:pt idx="54">
                  <c:v>0.71303974221267463</c:v>
                </c:pt>
                <c:pt idx="55">
                  <c:v>0.72624418188327977</c:v>
                </c:pt>
                <c:pt idx="56">
                  <c:v>0.73944862155388491</c:v>
                </c:pt>
                <c:pt idx="57">
                  <c:v>0.75265306122448961</c:v>
                </c:pt>
                <c:pt idx="58">
                  <c:v>0.76585750089509486</c:v>
                </c:pt>
                <c:pt idx="59">
                  <c:v>0.77906194056569977</c:v>
                </c:pt>
                <c:pt idx="60">
                  <c:v>0.79226638023630513</c:v>
                </c:pt>
                <c:pt idx="61">
                  <c:v>0.80547081990691005</c:v>
                </c:pt>
                <c:pt idx="62">
                  <c:v>0.8186752595775153</c:v>
                </c:pt>
                <c:pt idx="63">
                  <c:v>0.83187969924812022</c:v>
                </c:pt>
                <c:pt idx="64">
                  <c:v>0.84508413891872547</c:v>
                </c:pt>
                <c:pt idx="65">
                  <c:v>0.85828857858933039</c:v>
                </c:pt>
                <c:pt idx="66">
                  <c:v>0.87149301825993564</c:v>
                </c:pt>
                <c:pt idx="67">
                  <c:v>0.88469745793054055</c:v>
                </c:pt>
                <c:pt idx="68">
                  <c:v>0.8979018976011458</c:v>
                </c:pt>
                <c:pt idx="69">
                  <c:v>0.91110633727175061</c:v>
                </c:pt>
                <c:pt idx="70">
                  <c:v>0.92431077694235575</c:v>
                </c:pt>
                <c:pt idx="71">
                  <c:v>0.93751521661296078</c:v>
                </c:pt>
                <c:pt idx="72">
                  <c:v>0.95071965628356592</c:v>
                </c:pt>
                <c:pt idx="73">
                  <c:v>0.96392409595417095</c:v>
                </c:pt>
                <c:pt idx="74">
                  <c:v>0.97712853562477608</c:v>
                </c:pt>
                <c:pt idx="75">
                  <c:v>0.99033297529538133</c:v>
                </c:pt>
                <c:pt idx="76">
                  <c:v>1.0035374149659866</c:v>
                </c:pt>
                <c:pt idx="77">
                  <c:v>1.0167418546365916</c:v>
                </c:pt>
                <c:pt idx="78">
                  <c:v>1.0299462943071969</c:v>
                </c:pt>
                <c:pt idx="79">
                  <c:v>1.0431507339778017</c:v>
                </c:pt>
                <c:pt idx="80">
                  <c:v>1.0563551736484069</c:v>
                </c:pt>
                <c:pt idx="81">
                  <c:v>1.0695596133190119</c:v>
                </c:pt>
                <c:pt idx="82">
                  <c:v>1.0827640529896168</c:v>
                </c:pt>
                <c:pt idx="83">
                  <c:v>1.095968492660222</c:v>
                </c:pt>
                <c:pt idx="84">
                  <c:v>1.109172932330827</c:v>
                </c:pt>
                <c:pt idx="85">
                  <c:v>1.1223773720014321</c:v>
                </c:pt>
                <c:pt idx="86">
                  <c:v>1.1355818116720373</c:v>
                </c:pt>
                <c:pt idx="87">
                  <c:v>1.1487862513426423</c:v>
                </c:pt>
                <c:pt idx="88">
                  <c:v>1.1619906910132474</c:v>
                </c:pt>
                <c:pt idx="89">
                  <c:v>1.1751951306838526</c:v>
                </c:pt>
                <c:pt idx="90">
                  <c:v>1.1883995703544576</c:v>
                </c:pt>
                <c:pt idx="91">
                  <c:v>1.2016040100250627</c:v>
                </c:pt>
                <c:pt idx="92">
                  <c:v>1.2148084496956679</c:v>
                </c:pt>
                <c:pt idx="93">
                  <c:v>1.228012889366273</c:v>
                </c:pt>
                <c:pt idx="94">
                  <c:v>1.241217329036878</c:v>
                </c:pt>
                <c:pt idx="95">
                  <c:v>1.254421768707483</c:v>
                </c:pt>
                <c:pt idx="96">
                  <c:v>1.2676262083780883</c:v>
                </c:pt>
                <c:pt idx="97">
                  <c:v>1.2808306480486933</c:v>
                </c:pt>
                <c:pt idx="98">
                  <c:v>1.2940350877192983</c:v>
                </c:pt>
                <c:pt idx="99">
                  <c:v>1.3072395273899036</c:v>
                </c:pt>
                <c:pt idx="100">
                  <c:v>1.3204439670605086</c:v>
                </c:pt>
              </c:numCache>
            </c:numRef>
          </c:val>
          <c:smooth val="0"/>
          <c:extLst>
            <c:ext xmlns:c16="http://schemas.microsoft.com/office/drawing/2014/chart" uri="{C3380CC4-5D6E-409C-BE32-E72D297353CC}">
              <c16:uniqueId val="{00000000-4471-4283-AD88-7A89B7880E33}"/>
            </c:ext>
          </c:extLst>
        </c:ser>
        <c:ser>
          <c:idx val="0"/>
          <c:order val="1"/>
          <c:tx>
            <c:v>VIN-nom</c:v>
          </c:tx>
          <c:spPr>
            <a:ln w="28575">
              <a:solidFill>
                <a:srgbClr val="0000FF"/>
              </a:solidFill>
              <a:prstDash val="lgDash"/>
            </a:ln>
          </c:spPr>
          <c:marker>
            <c:symbol val="none"/>
          </c:marker>
          <c:cat>
            <c:numRef>
              <c:f>'Calculations - Dual'!$AL$5:$AL$105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Dual'!$AI$5:$AI$105</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0.29692299558323609</c:v>
                </c:pt>
                <c:pt idx="19">
                  <c:v>0.30505937862946608</c:v>
                </c:pt>
                <c:pt idx="20">
                  <c:v>0.31298431857438069</c:v>
                </c:pt>
                <c:pt idx="21">
                  <c:v>0.32071349029490925</c:v>
                </c:pt>
                <c:pt idx="22">
                  <c:v>0.32826072265931594</c:v>
                </c:pt>
                <c:pt idx="23">
                  <c:v>0.3356382892705923</c:v>
                </c:pt>
                <c:pt idx="24">
                  <c:v>0.34285714285714292</c:v>
                </c:pt>
                <c:pt idx="25">
                  <c:v>0.3499271061118826</c:v>
                </c:pt>
                <c:pt idx="26">
                  <c:v>0.35685702847990852</c:v>
                </c:pt>
                <c:pt idx="27">
                  <c:v>0.36365491603879591</c:v>
                </c:pt>
                <c:pt idx="28">
                  <c:v>0.37032803990902063</c:v>
                </c:pt>
                <c:pt idx="29">
                  <c:v>0.3768830273792263</c:v>
                </c:pt>
                <c:pt idx="30">
                  <c:v>0.38332593899996398</c:v>
                </c:pt>
                <c:pt idx="31">
                  <c:v>0.38966233419959589</c:v>
                </c:pt>
                <c:pt idx="32">
                  <c:v>0.39589732744431483</c:v>
                </c:pt>
                <c:pt idx="33">
                  <c:v>0.40203563655629398</c:v>
                </c:pt>
                <c:pt idx="34">
                  <c:v>0.40808162448816288</c:v>
                </c:pt>
                <c:pt idx="35">
                  <c:v>0.41403933560541251</c:v>
                </c:pt>
                <c:pt idx="36">
                  <c:v>0.4199125273342591</c:v>
                </c:pt>
                <c:pt idx="37">
                  <c:v>0.42570469787860971</c:v>
                </c:pt>
                <c:pt idx="38">
                  <c:v>0.43141911058690008</c:v>
                </c:pt>
                <c:pt idx="39">
                  <c:v>0.43705881545081021</c:v>
                </c:pt>
                <c:pt idx="40">
                  <c:v>0.44262666813799056</c:v>
                </c:pt>
                <c:pt idx="41">
                  <c:v>0.44812534689594635</c:v>
                </c:pt>
                <c:pt idx="42">
                  <c:v>0.45355736761107268</c:v>
                </c:pt>
                <c:pt idx="43">
                  <c:v>0.45892509726311459</c:v>
                </c:pt>
                <c:pt idx="44">
                  <c:v>0.46423076597919777</c:v>
                </c:pt>
                <c:pt idx="45">
                  <c:v>0.46947647786157098</c:v>
                </c:pt>
                <c:pt idx="46">
                  <c:v>0.47466422073817577</c:v>
                </c:pt>
                <c:pt idx="47">
                  <c:v>0.47979587496419046</c:v>
                </c:pt>
                <c:pt idx="48">
                  <c:v>0.48487322138506123</c:v>
                </c:pt>
                <c:pt idx="49">
                  <c:v>0.48989794855663565</c:v>
                </c:pt>
                <c:pt idx="50">
                  <c:v>0.49487165930539356</c:v>
                </c:pt>
                <c:pt idx="51">
                  <c:v>0.49979587670102582</c:v>
                </c:pt>
                <c:pt idx="52">
                  <c:v>0.65013963480128911</c:v>
                </c:pt>
                <c:pt idx="53">
                  <c:v>0.66264232008592938</c:v>
                </c:pt>
                <c:pt idx="54">
                  <c:v>0.67514500537056954</c:v>
                </c:pt>
                <c:pt idx="55">
                  <c:v>0.6876476906552097</c:v>
                </c:pt>
                <c:pt idx="56">
                  <c:v>0.70015037593984986</c:v>
                </c:pt>
                <c:pt idx="57">
                  <c:v>0.71265306122448979</c:v>
                </c:pt>
                <c:pt idx="58">
                  <c:v>0.72515574650913006</c:v>
                </c:pt>
                <c:pt idx="59">
                  <c:v>0.73765843179377011</c:v>
                </c:pt>
                <c:pt idx="60">
                  <c:v>0.75016111707841049</c:v>
                </c:pt>
                <c:pt idx="61">
                  <c:v>0.76266380236305054</c:v>
                </c:pt>
                <c:pt idx="62">
                  <c:v>0.77516648764769081</c:v>
                </c:pt>
                <c:pt idx="63">
                  <c:v>0.78766917293233085</c:v>
                </c:pt>
                <c:pt idx="64">
                  <c:v>0.80017185821697123</c:v>
                </c:pt>
                <c:pt idx="65">
                  <c:v>0.81267454350161128</c:v>
                </c:pt>
                <c:pt idx="66">
                  <c:v>0.82517722878625155</c:v>
                </c:pt>
                <c:pt idx="67">
                  <c:v>0.8376799140708916</c:v>
                </c:pt>
                <c:pt idx="68">
                  <c:v>0.85018259935553198</c:v>
                </c:pt>
                <c:pt idx="69">
                  <c:v>0.8626852846401718</c:v>
                </c:pt>
                <c:pt idx="70">
                  <c:v>0.87518796992481207</c:v>
                </c:pt>
                <c:pt idx="71">
                  <c:v>0.88769065520945223</c:v>
                </c:pt>
                <c:pt idx="72">
                  <c:v>0.90019334049409239</c:v>
                </c:pt>
                <c:pt idx="73">
                  <c:v>0.91269602577873254</c:v>
                </c:pt>
                <c:pt idx="74">
                  <c:v>0.92519871106337281</c:v>
                </c:pt>
                <c:pt idx="75">
                  <c:v>0.93770139634801308</c:v>
                </c:pt>
                <c:pt idx="76">
                  <c:v>0.95020408163265346</c:v>
                </c:pt>
                <c:pt idx="77">
                  <c:v>0.96270676691729351</c:v>
                </c:pt>
                <c:pt idx="78">
                  <c:v>0.97520945220193378</c:v>
                </c:pt>
                <c:pt idx="79">
                  <c:v>0.98771213748657383</c:v>
                </c:pt>
                <c:pt idx="80">
                  <c:v>1.0002148227712142</c:v>
                </c:pt>
                <c:pt idx="81">
                  <c:v>1.0127175080558541</c:v>
                </c:pt>
                <c:pt idx="82">
                  <c:v>1.0252201933404943</c:v>
                </c:pt>
                <c:pt idx="83">
                  <c:v>1.0377228786251345</c:v>
                </c:pt>
                <c:pt idx="84">
                  <c:v>1.0502255639097746</c:v>
                </c:pt>
                <c:pt idx="85">
                  <c:v>1.0627282491944148</c:v>
                </c:pt>
                <c:pt idx="86">
                  <c:v>1.0752309344790549</c:v>
                </c:pt>
                <c:pt idx="87">
                  <c:v>1.0877336197636951</c:v>
                </c:pt>
                <c:pt idx="88">
                  <c:v>1.1002363050483353</c:v>
                </c:pt>
                <c:pt idx="89">
                  <c:v>1.1127389903329756</c:v>
                </c:pt>
                <c:pt idx="90">
                  <c:v>1.1252416756176158</c:v>
                </c:pt>
                <c:pt idx="91">
                  <c:v>1.1377443609022559</c:v>
                </c:pt>
                <c:pt idx="92">
                  <c:v>1.1502470461868961</c:v>
                </c:pt>
                <c:pt idx="93">
                  <c:v>1.1627497314715363</c:v>
                </c:pt>
                <c:pt idx="94">
                  <c:v>1.1752524167561764</c:v>
                </c:pt>
                <c:pt idx="95">
                  <c:v>1.1877551020408166</c:v>
                </c:pt>
                <c:pt idx="96">
                  <c:v>1.2002577873254567</c:v>
                </c:pt>
                <c:pt idx="97">
                  <c:v>1.2127604726100971</c:v>
                </c:pt>
                <c:pt idx="98">
                  <c:v>1.2252631578947373</c:v>
                </c:pt>
                <c:pt idx="99">
                  <c:v>1.2377658431793774</c:v>
                </c:pt>
                <c:pt idx="100">
                  <c:v>1.2502685284640176</c:v>
                </c:pt>
              </c:numCache>
            </c:numRef>
          </c:val>
          <c:smooth val="0"/>
          <c:extLst>
            <c:ext xmlns:c16="http://schemas.microsoft.com/office/drawing/2014/chart" uri="{C3380CC4-5D6E-409C-BE32-E72D297353CC}">
              <c16:uniqueId val="{00000001-4471-4283-AD88-7A89B7880E33}"/>
            </c:ext>
          </c:extLst>
        </c:ser>
        <c:ser>
          <c:idx val="2"/>
          <c:order val="2"/>
          <c:tx>
            <c:v>VIN-max</c:v>
          </c:tx>
          <c:spPr>
            <a:ln>
              <a:solidFill>
                <a:srgbClr val="FF0000"/>
              </a:solidFill>
              <a:prstDash val="solid"/>
            </a:ln>
          </c:spPr>
          <c:marker>
            <c:symbol val="none"/>
          </c:marker>
          <c:val>
            <c:numRef>
              <c:f>'Calculations - Dual'!$AI$216:$AI$316</c:f>
              <c:numCache>
                <c:formatCode>0.000</c:formatCode>
                <c:ptCount val="101"/>
                <c:pt idx="0">
                  <c:v>0.28999999999999998</c:v>
                </c:pt>
                <c:pt idx="1">
                  <c:v>0.28999999999999998</c:v>
                </c:pt>
                <c:pt idx="2">
                  <c:v>0.28999999999999998</c:v>
                </c:pt>
                <c:pt idx="3">
                  <c:v>0.28999999999999998</c:v>
                </c:pt>
                <c:pt idx="4">
                  <c:v>0.28999999999999998</c:v>
                </c:pt>
                <c:pt idx="5">
                  <c:v>0.28999999999999998</c:v>
                </c:pt>
                <c:pt idx="6">
                  <c:v>0.28999999999999998</c:v>
                </c:pt>
                <c:pt idx="7">
                  <c:v>0.28999999999999998</c:v>
                </c:pt>
                <c:pt idx="8">
                  <c:v>0.28999999999999998</c:v>
                </c:pt>
                <c:pt idx="9">
                  <c:v>0.28999999999999998</c:v>
                </c:pt>
                <c:pt idx="10">
                  <c:v>0.28999999999999998</c:v>
                </c:pt>
                <c:pt idx="11">
                  <c:v>0.28999999999999998</c:v>
                </c:pt>
                <c:pt idx="12">
                  <c:v>0.28999999999999998</c:v>
                </c:pt>
                <c:pt idx="13">
                  <c:v>0.28999999999999998</c:v>
                </c:pt>
                <c:pt idx="14">
                  <c:v>0.28999999999999998</c:v>
                </c:pt>
                <c:pt idx="15">
                  <c:v>0.28999999999999998</c:v>
                </c:pt>
                <c:pt idx="16">
                  <c:v>0.28999999999999998</c:v>
                </c:pt>
                <c:pt idx="17">
                  <c:v>0.28999999999999998</c:v>
                </c:pt>
                <c:pt idx="18">
                  <c:v>0.29692299558323609</c:v>
                </c:pt>
                <c:pt idx="19">
                  <c:v>0.30505937862946608</c:v>
                </c:pt>
                <c:pt idx="20">
                  <c:v>0.31298431857438069</c:v>
                </c:pt>
                <c:pt idx="21">
                  <c:v>0.32071349029490925</c:v>
                </c:pt>
                <c:pt idx="22">
                  <c:v>0.32826072265931594</c:v>
                </c:pt>
                <c:pt idx="23">
                  <c:v>0.3356382892705923</c:v>
                </c:pt>
                <c:pt idx="24">
                  <c:v>0.34285714285714292</c:v>
                </c:pt>
                <c:pt idx="25">
                  <c:v>0.3499271061118826</c:v>
                </c:pt>
                <c:pt idx="26">
                  <c:v>0.35685702847990852</c:v>
                </c:pt>
                <c:pt idx="27">
                  <c:v>0.36365491603879591</c:v>
                </c:pt>
                <c:pt idx="28">
                  <c:v>0.37032803990902063</c:v>
                </c:pt>
                <c:pt idx="29">
                  <c:v>0.3768830273792263</c:v>
                </c:pt>
                <c:pt idx="30">
                  <c:v>0.38332593899996398</c:v>
                </c:pt>
                <c:pt idx="31">
                  <c:v>0.38966233419959589</c:v>
                </c:pt>
                <c:pt idx="32">
                  <c:v>0.39589732744431483</c:v>
                </c:pt>
                <c:pt idx="33">
                  <c:v>0.40203563655629398</c:v>
                </c:pt>
                <c:pt idx="34">
                  <c:v>0.40808162448816288</c:v>
                </c:pt>
                <c:pt idx="35">
                  <c:v>0.41403933560541251</c:v>
                </c:pt>
                <c:pt idx="36">
                  <c:v>0.4199125273342591</c:v>
                </c:pt>
                <c:pt idx="37">
                  <c:v>0.42570469787860971</c:v>
                </c:pt>
                <c:pt idx="38">
                  <c:v>0.45328385899814483</c:v>
                </c:pt>
                <c:pt idx="39">
                  <c:v>0.4652123816033592</c:v>
                </c:pt>
                <c:pt idx="40">
                  <c:v>0.47714090420857352</c:v>
                </c:pt>
                <c:pt idx="41">
                  <c:v>0.48906942681378773</c:v>
                </c:pt>
                <c:pt idx="42">
                  <c:v>0.50099794941900211</c:v>
                </c:pt>
                <c:pt idx="43">
                  <c:v>0.51292647202421637</c:v>
                </c:pt>
                <c:pt idx="44">
                  <c:v>0.52485499462943075</c:v>
                </c:pt>
                <c:pt idx="45">
                  <c:v>0.53678351723464512</c:v>
                </c:pt>
                <c:pt idx="46">
                  <c:v>0.5487120398398595</c:v>
                </c:pt>
                <c:pt idx="47">
                  <c:v>0.56064056244507376</c:v>
                </c:pt>
                <c:pt idx="48">
                  <c:v>0.57256908505028814</c:v>
                </c:pt>
                <c:pt idx="49">
                  <c:v>0.58449760765550252</c:v>
                </c:pt>
                <c:pt idx="50">
                  <c:v>0.59642613026071678</c:v>
                </c:pt>
                <c:pt idx="51">
                  <c:v>0.60835465286593116</c:v>
                </c:pt>
                <c:pt idx="52">
                  <c:v>0.62028317547114553</c:v>
                </c:pt>
                <c:pt idx="53">
                  <c:v>0.63221169807635991</c:v>
                </c:pt>
                <c:pt idx="54">
                  <c:v>0.64414022068157417</c:v>
                </c:pt>
                <c:pt idx="55">
                  <c:v>0.65606874328678855</c:v>
                </c:pt>
                <c:pt idx="56">
                  <c:v>0.66799726589200292</c:v>
                </c:pt>
                <c:pt idx="57">
                  <c:v>0.67992578849721697</c:v>
                </c:pt>
                <c:pt idx="58">
                  <c:v>0.69185431110243145</c:v>
                </c:pt>
                <c:pt idx="59">
                  <c:v>0.70378283370764561</c:v>
                </c:pt>
                <c:pt idx="60">
                  <c:v>0.71571135631286009</c:v>
                </c:pt>
                <c:pt idx="61">
                  <c:v>0.72763987891807436</c:v>
                </c:pt>
                <c:pt idx="62">
                  <c:v>0.73956840152328884</c:v>
                </c:pt>
                <c:pt idx="63">
                  <c:v>0.751496924128503</c:v>
                </c:pt>
                <c:pt idx="64">
                  <c:v>0.76342544673371748</c:v>
                </c:pt>
                <c:pt idx="65">
                  <c:v>0.77535396933893175</c:v>
                </c:pt>
                <c:pt idx="66">
                  <c:v>0.78728249194414623</c:v>
                </c:pt>
                <c:pt idx="67">
                  <c:v>0.79921101454936039</c:v>
                </c:pt>
                <c:pt idx="68">
                  <c:v>0.81113953715457487</c:v>
                </c:pt>
                <c:pt idx="69">
                  <c:v>0.82306805975978892</c:v>
                </c:pt>
                <c:pt idx="70">
                  <c:v>0.83499658236500329</c:v>
                </c:pt>
                <c:pt idx="71">
                  <c:v>0.84692510497021767</c:v>
                </c:pt>
                <c:pt idx="72">
                  <c:v>0.85885362757543193</c:v>
                </c:pt>
                <c:pt idx="73">
                  <c:v>0.87078215018064631</c:v>
                </c:pt>
                <c:pt idx="74">
                  <c:v>0.88271067278586068</c:v>
                </c:pt>
                <c:pt idx="75">
                  <c:v>0.89463919539107517</c:v>
                </c:pt>
                <c:pt idx="76">
                  <c:v>0.90656771799628966</c:v>
                </c:pt>
                <c:pt idx="77">
                  <c:v>0.91849624060150381</c:v>
                </c:pt>
                <c:pt idx="78">
                  <c:v>0.93042476320671841</c:v>
                </c:pt>
                <c:pt idx="79">
                  <c:v>0.94235328581193256</c:v>
                </c:pt>
                <c:pt idx="80">
                  <c:v>0.95428180841714705</c:v>
                </c:pt>
                <c:pt idx="81">
                  <c:v>0.9662103310223612</c:v>
                </c:pt>
                <c:pt idx="82">
                  <c:v>0.97813885362757547</c:v>
                </c:pt>
                <c:pt idx="83">
                  <c:v>0.99006737623278984</c:v>
                </c:pt>
                <c:pt idx="84">
                  <c:v>1.0019958988380042</c:v>
                </c:pt>
                <c:pt idx="85">
                  <c:v>1.0139244214432184</c:v>
                </c:pt>
                <c:pt idx="86">
                  <c:v>1.0258529440484327</c:v>
                </c:pt>
                <c:pt idx="87">
                  <c:v>1.0377814666536471</c:v>
                </c:pt>
                <c:pt idx="88">
                  <c:v>1.0497099892588615</c:v>
                </c:pt>
                <c:pt idx="89">
                  <c:v>1.0616385118640759</c:v>
                </c:pt>
                <c:pt idx="90">
                  <c:v>1.0735670344692902</c:v>
                </c:pt>
                <c:pt idx="91">
                  <c:v>1.0854955570745046</c:v>
                </c:pt>
                <c:pt idx="92">
                  <c:v>1.097424079679719</c:v>
                </c:pt>
                <c:pt idx="93">
                  <c:v>1.1093526022849332</c:v>
                </c:pt>
                <c:pt idx="94">
                  <c:v>1.1212811248901475</c:v>
                </c:pt>
                <c:pt idx="95">
                  <c:v>1.1332096474953619</c:v>
                </c:pt>
                <c:pt idx="96">
                  <c:v>1.1451381701005763</c:v>
                </c:pt>
                <c:pt idx="97">
                  <c:v>1.1570666927057907</c:v>
                </c:pt>
                <c:pt idx="98">
                  <c:v>1.168995215311005</c:v>
                </c:pt>
                <c:pt idx="99">
                  <c:v>1.1809237379162194</c:v>
                </c:pt>
                <c:pt idx="100">
                  <c:v>1.1928522605214336</c:v>
                </c:pt>
              </c:numCache>
            </c:numRef>
          </c:val>
          <c:smooth val="0"/>
          <c:extLst>
            <c:ext xmlns:c16="http://schemas.microsoft.com/office/drawing/2014/chart" uri="{C3380CC4-5D6E-409C-BE32-E72D297353CC}">
              <c16:uniqueId val="{00000002-4471-4283-AD88-7A89B7880E33}"/>
            </c:ext>
          </c:extLst>
        </c:ser>
        <c:dLbls>
          <c:showLegendKey val="0"/>
          <c:showVal val="0"/>
          <c:showCatName val="0"/>
          <c:showSerName val="0"/>
          <c:showPercent val="0"/>
          <c:showBubbleSize val="0"/>
        </c:dLbls>
        <c:smooth val="0"/>
        <c:axId val="129874944"/>
        <c:axId val="129889408"/>
      </c:lineChart>
      <c:catAx>
        <c:axId val="129874944"/>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29889408"/>
        <c:crosses val="autoZero"/>
        <c:auto val="1"/>
        <c:lblAlgn val="ctr"/>
        <c:lblOffset val="100"/>
        <c:tickLblSkip val="20"/>
        <c:tickMarkSkip val="10"/>
        <c:noMultiLvlLbl val="0"/>
      </c:catAx>
      <c:valAx>
        <c:axId val="129889408"/>
        <c:scaling>
          <c:orientation val="minMax"/>
          <c:max val="1.4"/>
          <c:min val="0"/>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Peak</a:t>
                </a:r>
                <a:r>
                  <a:rPr lang="en-US" sz="1200" b="1" baseline="0">
                    <a:solidFill>
                      <a:schemeClr val="tx1"/>
                    </a:solidFill>
                    <a:latin typeface="Arial" pitchFamily="34" charset="0"/>
                    <a:cs typeface="Arial" pitchFamily="34" charset="0"/>
                  </a:rPr>
                  <a:t> Primary Current (A)</a:t>
                </a:r>
                <a:endParaRPr lang="en-US" sz="1200" b="1">
                  <a:solidFill>
                    <a:schemeClr val="tx1"/>
                  </a:solidFill>
                  <a:latin typeface="Arial" pitchFamily="34" charset="0"/>
                  <a:cs typeface="Arial" pitchFamily="34" charset="0"/>
                </a:endParaRPr>
              </a:p>
            </c:rich>
          </c:tx>
          <c:layout>
            <c:manualLayout>
              <c:xMode val="edge"/>
              <c:yMode val="edge"/>
              <c:x val="1.8892754684734177E-2"/>
              <c:y val="0.30303578260037478"/>
            </c:manualLayout>
          </c:layout>
          <c:overlay val="0"/>
          <c:spPr>
            <a:noFill/>
            <a:ln w="25400">
              <a:noFill/>
            </a:ln>
          </c:spPr>
        </c:title>
        <c:numFmt formatCode="#,##0.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29874944"/>
        <c:crossesAt val="0"/>
        <c:crossBetween val="between"/>
      </c:valAx>
      <c:spPr>
        <a:solidFill>
          <a:srgbClr val="FFFFFF"/>
        </a:solidFill>
        <a:ln w="25400">
          <a:noFill/>
        </a:ln>
      </c:spPr>
    </c:plotArea>
    <c:legend>
      <c:legendPos val="t"/>
      <c:layout>
        <c:manualLayout>
          <c:xMode val="edge"/>
          <c:yMode val="edge"/>
          <c:x val="0.50279342989103104"/>
          <c:y val="1.6951025877806759E-2"/>
          <c:w val="0.44417947756530435"/>
          <c:h val="8.979504932061760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280746883383756E-2"/>
          <c:y val="0.12133523343001466"/>
          <c:w val="0.86047278973849184"/>
          <c:h val="0.7558980268938309"/>
        </c:manualLayout>
      </c:layout>
      <c:lineChart>
        <c:grouping val="standard"/>
        <c:varyColors val="0"/>
        <c:ser>
          <c:idx val="1"/>
          <c:order val="0"/>
          <c:tx>
            <c:v>VIN-min</c:v>
          </c:tx>
          <c:spPr>
            <a:ln>
              <a:solidFill>
                <a:srgbClr val="00B050"/>
              </a:solidFill>
              <a:prstDash val="sysDash"/>
            </a:ln>
          </c:spPr>
          <c:marker>
            <c:symbol val="none"/>
          </c:marker>
          <c:val>
            <c:numRef>
              <c:f>'Calculations - Dual'!$AJ$110:$AJ$210</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1.2495237247999322</c:v>
                </c:pt>
                <c:pt idx="27">
                  <c:v>1.2545591970657748</c:v>
                </c:pt>
                <c:pt idx="28">
                  <c:v>1.2595022517844596</c:v>
                </c:pt>
                <c:pt idx="29">
                  <c:v>1.2643577980586862</c:v>
                </c:pt>
                <c:pt idx="30">
                  <c:v>1.2691303251851584</c:v>
                </c:pt>
                <c:pt idx="31">
                  <c:v>1.2883982442879687</c:v>
                </c:pt>
                <c:pt idx="32">
                  <c:v>1.298179310710639</c:v>
                </c:pt>
                <c:pt idx="33">
                  <c:v>1.3079603771333095</c:v>
                </c:pt>
                <c:pt idx="34">
                  <c:v>1.3177414435559798</c:v>
                </c:pt>
                <c:pt idx="35">
                  <c:v>1.3275225099786503</c:v>
                </c:pt>
                <c:pt idx="36">
                  <c:v>1.3373035764013206</c:v>
                </c:pt>
                <c:pt idx="37">
                  <c:v>1.3470846428239911</c:v>
                </c:pt>
                <c:pt idx="38">
                  <c:v>1.3568657092466616</c:v>
                </c:pt>
                <c:pt idx="39">
                  <c:v>1.3666467756693321</c:v>
                </c:pt>
                <c:pt idx="40">
                  <c:v>1.3764278420920024</c:v>
                </c:pt>
                <c:pt idx="41">
                  <c:v>1.3862089085146727</c:v>
                </c:pt>
                <c:pt idx="42">
                  <c:v>1.3959899749373432</c:v>
                </c:pt>
                <c:pt idx="43">
                  <c:v>1.4057710413600137</c:v>
                </c:pt>
                <c:pt idx="44">
                  <c:v>1.4155521077826843</c:v>
                </c:pt>
                <c:pt idx="45">
                  <c:v>1.4253331742053548</c:v>
                </c:pt>
                <c:pt idx="46">
                  <c:v>1.4351142406280251</c:v>
                </c:pt>
                <c:pt idx="47">
                  <c:v>1.4448953070506956</c:v>
                </c:pt>
                <c:pt idx="48">
                  <c:v>1.4546763734733661</c:v>
                </c:pt>
                <c:pt idx="49">
                  <c:v>1.4644574398960364</c:v>
                </c:pt>
                <c:pt idx="50">
                  <c:v>1.4742385063187069</c:v>
                </c:pt>
                <c:pt idx="51">
                  <c:v>1.4840195727413774</c:v>
                </c:pt>
                <c:pt idx="52">
                  <c:v>1.4938006391640477</c:v>
                </c:pt>
                <c:pt idx="53">
                  <c:v>1.5035817055867182</c:v>
                </c:pt>
                <c:pt idx="54">
                  <c:v>1.5133627720093885</c:v>
                </c:pt>
                <c:pt idx="55">
                  <c:v>1.523143838432059</c:v>
                </c:pt>
                <c:pt idx="56">
                  <c:v>1.5329249048547295</c:v>
                </c:pt>
                <c:pt idx="57">
                  <c:v>1.5427059712773996</c:v>
                </c:pt>
                <c:pt idx="58">
                  <c:v>1.5524870377000703</c:v>
                </c:pt>
                <c:pt idx="59">
                  <c:v>1.5622681041227406</c:v>
                </c:pt>
                <c:pt idx="60">
                  <c:v>1.5720491705454112</c:v>
                </c:pt>
                <c:pt idx="61">
                  <c:v>1.5818302369680814</c:v>
                </c:pt>
                <c:pt idx="62">
                  <c:v>1.591611303390752</c:v>
                </c:pt>
                <c:pt idx="63">
                  <c:v>1.6013923698134225</c:v>
                </c:pt>
                <c:pt idx="64">
                  <c:v>1.611173436236093</c:v>
                </c:pt>
                <c:pt idx="65">
                  <c:v>1.6209545026587633</c:v>
                </c:pt>
                <c:pt idx="66">
                  <c:v>1.6307355690814338</c:v>
                </c:pt>
                <c:pt idx="67">
                  <c:v>1.6405166355041041</c:v>
                </c:pt>
                <c:pt idx="68">
                  <c:v>1.6502977019267746</c:v>
                </c:pt>
                <c:pt idx="69">
                  <c:v>1.6600787683494449</c:v>
                </c:pt>
                <c:pt idx="70">
                  <c:v>1.6698598347721152</c:v>
                </c:pt>
                <c:pt idx="71">
                  <c:v>1.6796409011947857</c:v>
                </c:pt>
                <c:pt idx="72">
                  <c:v>1.6894219676174562</c:v>
                </c:pt>
                <c:pt idx="73">
                  <c:v>1.6992030340401267</c:v>
                </c:pt>
                <c:pt idx="74">
                  <c:v>1.708984100462797</c:v>
                </c:pt>
                <c:pt idx="75">
                  <c:v>1.7187651668854675</c:v>
                </c:pt>
                <c:pt idx="76">
                  <c:v>1.7285462333081383</c:v>
                </c:pt>
                <c:pt idx="77">
                  <c:v>1.7383272997308086</c:v>
                </c:pt>
                <c:pt idx="78">
                  <c:v>1.7481083661534791</c:v>
                </c:pt>
                <c:pt idx="79">
                  <c:v>1.7578894325761492</c:v>
                </c:pt>
                <c:pt idx="80">
                  <c:v>1.7676704989988199</c:v>
                </c:pt>
                <c:pt idx="81">
                  <c:v>1.7774515654214902</c:v>
                </c:pt>
                <c:pt idx="82">
                  <c:v>1.7872326318441605</c:v>
                </c:pt>
                <c:pt idx="83">
                  <c:v>1.797013698266831</c:v>
                </c:pt>
                <c:pt idx="84">
                  <c:v>1.8067947646895015</c:v>
                </c:pt>
                <c:pt idx="85">
                  <c:v>1.8165758311121718</c:v>
                </c:pt>
                <c:pt idx="86">
                  <c:v>1.8263568975348423</c:v>
                </c:pt>
                <c:pt idx="87">
                  <c:v>1.8361379639575128</c:v>
                </c:pt>
                <c:pt idx="88">
                  <c:v>1.8459190303801831</c:v>
                </c:pt>
                <c:pt idx="89">
                  <c:v>1.8557000968028536</c:v>
                </c:pt>
                <c:pt idx="90">
                  <c:v>1.8654811632255242</c:v>
                </c:pt>
                <c:pt idx="91">
                  <c:v>1.8752622296481944</c:v>
                </c:pt>
                <c:pt idx="92">
                  <c:v>1.8850432960708652</c:v>
                </c:pt>
                <c:pt idx="93">
                  <c:v>1.8948243624935355</c:v>
                </c:pt>
                <c:pt idx="94">
                  <c:v>1.9046054289162058</c:v>
                </c:pt>
                <c:pt idx="95">
                  <c:v>1.9143864953388763</c:v>
                </c:pt>
                <c:pt idx="96">
                  <c:v>1.9241675617615468</c:v>
                </c:pt>
                <c:pt idx="97">
                  <c:v>1.9339486281842171</c:v>
                </c:pt>
                <c:pt idx="98">
                  <c:v>1.9437296946068876</c:v>
                </c:pt>
                <c:pt idx="99">
                  <c:v>1.9535107610295581</c:v>
                </c:pt>
                <c:pt idx="100">
                  <c:v>1.9632918274522284</c:v>
                </c:pt>
              </c:numCache>
            </c:numRef>
          </c:val>
          <c:smooth val="0"/>
          <c:extLst>
            <c:ext xmlns:c16="http://schemas.microsoft.com/office/drawing/2014/chart" uri="{C3380CC4-5D6E-409C-BE32-E72D297353CC}">
              <c16:uniqueId val="{00000000-23F4-4815-BCAE-92B929065663}"/>
            </c:ext>
          </c:extLst>
        </c:ser>
        <c:ser>
          <c:idx val="0"/>
          <c:order val="1"/>
          <c:tx>
            <c:v>VIN-nom</c:v>
          </c:tx>
          <c:spPr>
            <a:ln w="28575">
              <a:solidFill>
                <a:srgbClr val="0000FF"/>
              </a:solidFill>
              <a:prstDash val="lgDash"/>
            </a:ln>
          </c:spPr>
          <c:marker>
            <c:symbol val="none"/>
          </c:marker>
          <c:cat>
            <c:numRef>
              <c:f>'Calculations - Dual'!$AL$5:$AL$105</c:f>
              <c:numCache>
                <c:formatCode>0</c:formatCode>
                <c:ptCount val="101"/>
                <c:pt idx="0">
                  <c:v>1.0000000000000002E-6</c:v>
                </c:pt>
                <c:pt idx="1">
                  <c:v>4</c:v>
                </c:pt>
                <c:pt idx="2">
                  <c:v>8</c:v>
                </c:pt>
                <c:pt idx="3">
                  <c:v>12</c:v>
                </c:pt>
                <c:pt idx="4">
                  <c:v>16</c:v>
                </c:pt>
                <c:pt idx="5">
                  <c:v>20.000000000000004</c:v>
                </c:pt>
                <c:pt idx="6">
                  <c:v>24</c:v>
                </c:pt>
                <c:pt idx="7">
                  <c:v>28.000000000000004</c:v>
                </c:pt>
                <c:pt idx="8">
                  <c:v>32</c:v>
                </c:pt>
                <c:pt idx="9">
                  <c:v>36</c:v>
                </c:pt>
                <c:pt idx="10">
                  <c:v>40.000000000000007</c:v>
                </c:pt>
                <c:pt idx="11">
                  <c:v>44.000000000000007</c:v>
                </c:pt>
                <c:pt idx="12">
                  <c:v>48</c:v>
                </c:pt>
                <c:pt idx="13">
                  <c:v>52.000000000000007</c:v>
                </c:pt>
                <c:pt idx="14">
                  <c:v>56.000000000000007</c:v>
                </c:pt>
                <c:pt idx="15">
                  <c:v>60</c:v>
                </c:pt>
                <c:pt idx="16">
                  <c:v>64</c:v>
                </c:pt>
                <c:pt idx="17">
                  <c:v>68</c:v>
                </c:pt>
                <c:pt idx="18">
                  <c:v>72</c:v>
                </c:pt>
                <c:pt idx="19">
                  <c:v>76.000000000000014</c:v>
                </c:pt>
                <c:pt idx="20">
                  <c:v>80.000000000000014</c:v>
                </c:pt>
                <c:pt idx="21">
                  <c:v>84</c:v>
                </c:pt>
                <c:pt idx="22">
                  <c:v>88.000000000000014</c:v>
                </c:pt>
                <c:pt idx="23">
                  <c:v>92.000000000000014</c:v>
                </c:pt>
                <c:pt idx="24">
                  <c:v>96</c:v>
                </c:pt>
                <c:pt idx="25">
                  <c:v>100</c:v>
                </c:pt>
                <c:pt idx="26">
                  <c:v>104.00000000000001</c:v>
                </c:pt>
                <c:pt idx="27">
                  <c:v>108.00000000000001</c:v>
                </c:pt>
                <c:pt idx="28">
                  <c:v>112.00000000000001</c:v>
                </c:pt>
                <c:pt idx="29">
                  <c:v>115.99999999999999</c:v>
                </c:pt>
                <c:pt idx="30">
                  <c:v>120</c:v>
                </c:pt>
                <c:pt idx="31">
                  <c:v>124</c:v>
                </c:pt>
                <c:pt idx="32">
                  <c:v>128</c:v>
                </c:pt>
                <c:pt idx="33">
                  <c:v>132</c:v>
                </c:pt>
                <c:pt idx="34">
                  <c:v>136</c:v>
                </c:pt>
                <c:pt idx="35">
                  <c:v>139.99999999999997</c:v>
                </c:pt>
                <c:pt idx="36">
                  <c:v>144</c:v>
                </c:pt>
                <c:pt idx="37">
                  <c:v>148</c:v>
                </c:pt>
                <c:pt idx="38">
                  <c:v>152.00000000000003</c:v>
                </c:pt>
                <c:pt idx="39">
                  <c:v>156.00000000000003</c:v>
                </c:pt>
                <c:pt idx="40">
                  <c:v>160.00000000000003</c:v>
                </c:pt>
                <c:pt idx="41">
                  <c:v>164</c:v>
                </c:pt>
                <c:pt idx="42">
                  <c:v>168</c:v>
                </c:pt>
                <c:pt idx="43">
                  <c:v>172</c:v>
                </c:pt>
                <c:pt idx="44">
                  <c:v>176.00000000000003</c:v>
                </c:pt>
                <c:pt idx="45">
                  <c:v>180.00000000000003</c:v>
                </c:pt>
                <c:pt idx="46">
                  <c:v>184.00000000000003</c:v>
                </c:pt>
                <c:pt idx="47">
                  <c:v>188</c:v>
                </c:pt>
                <c:pt idx="48">
                  <c:v>192</c:v>
                </c:pt>
                <c:pt idx="49">
                  <c:v>196</c:v>
                </c:pt>
                <c:pt idx="50">
                  <c:v>200</c:v>
                </c:pt>
                <c:pt idx="51">
                  <c:v>204.00000000000003</c:v>
                </c:pt>
                <c:pt idx="52">
                  <c:v>208.00000000000003</c:v>
                </c:pt>
                <c:pt idx="53">
                  <c:v>212.00000000000003</c:v>
                </c:pt>
                <c:pt idx="54">
                  <c:v>216.00000000000003</c:v>
                </c:pt>
                <c:pt idx="55">
                  <c:v>220.00000000000003</c:v>
                </c:pt>
                <c:pt idx="56">
                  <c:v>224.00000000000003</c:v>
                </c:pt>
                <c:pt idx="57">
                  <c:v>227.99999999999997</c:v>
                </c:pt>
                <c:pt idx="58">
                  <c:v>231.99999999999997</c:v>
                </c:pt>
                <c:pt idx="59">
                  <c:v>236</c:v>
                </c:pt>
                <c:pt idx="60">
                  <c:v>240</c:v>
                </c:pt>
                <c:pt idx="61">
                  <c:v>244</c:v>
                </c:pt>
                <c:pt idx="62">
                  <c:v>248</c:v>
                </c:pt>
                <c:pt idx="63">
                  <c:v>252</c:v>
                </c:pt>
                <c:pt idx="64">
                  <c:v>256</c:v>
                </c:pt>
                <c:pt idx="65">
                  <c:v>260</c:v>
                </c:pt>
                <c:pt idx="66">
                  <c:v>264</c:v>
                </c:pt>
                <c:pt idx="67">
                  <c:v>268</c:v>
                </c:pt>
                <c:pt idx="68">
                  <c:v>272</c:v>
                </c:pt>
                <c:pt idx="69">
                  <c:v>275.99999999999994</c:v>
                </c:pt>
                <c:pt idx="70">
                  <c:v>279.99999999999994</c:v>
                </c:pt>
                <c:pt idx="71">
                  <c:v>284</c:v>
                </c:pt>
                <c:pt idx="72">
                  <c:v>288</c:v>
                </c:pt>
                <c:pt idx="73">
                  <c:v>292</c:v>
                </c:pt>
                <c:pt idx="74">
                  <c:v>296</c:v>
                </c:pt>
                <c:pt idx="75">
                  <c:v>300.00000000000006</c:v>
                </c:pt>
                <c:pt idx="76">
                  <c:v>304.00000000000006</c:v>
                </c:pt>
                <c:pt idx="77">
                  <c:v>308.00000000000006</c:v>
                </c:pt>
                <c:pt idx="78">
                  <c:v>312.00000000000006</c:v>
                </c:pt>
                <c:pt idx="79">
                  <c:v>316.00000000000006</c:v>
                </c:pt>
                <c:pt idx="80">
                  <c:v>320.00000000000006</c:v>
                </c:pt>
                <c:pt idx="81">
                  <c:v>324.00000000000006</c:v>
                </c:pt>
                <c:pt idx="82">
                  <c:v>328</c:v>
                </c:pt>
                <c:pt idx="83">
                  <c:v>332</c:v>
                </c:pt>
                <c:pt idx="84">
                  <c:v>336</c:v>
                </c:pt>
                <c:pt idx="85">
                  <c:v>340</c:v>
                </c:pt>
                <c:pt idx="86">
                  <c:v>344</c:v>
                </c:pt>
                <c:pt idx="87">
                  <c:v>348.00000000000006</c:v>
                </c:pt>
                <c:pt idx="88">
                  <c:v>352.00000000000006</c:v>
                </c:pt>
                <c:pt idx="89">
                  <c:v>356.00000000000006</c:v>
                </c:pt>
                <c:pt idx="90">
                  <c:v>360.00000000000006</c:v>
                </c:pt>
                <c:pt idx="91">
                  <c:v>364.00000000000006</c:v>
                </c:pt>
                <c:pt idx="92">
                  <c:v>368.00000000000006</c:v>
                </c:pt>
                <c:pt idx="93">
                  <c:v>372.00000000000006</c:v>
                </c:pt>
                <c:pt idx="94">
                  <c:v>376</c:v>
                </c:pt>
                <c:pt idx="95">
                  <c:v>380</c:v>
                </c:pt>
                <c:pt idx="96">
                  <c:v>384</c:v>
                </c:pt>
                <c:pt idx="97">
                  <c:v>388</c:v>
                </c:pt>
                <c:pt idx="98">
                  <c:v>392</c:v>
                </c:pt>
                <c:pt idx="99">
                  <c:v>396</c:v>
                </c:pt>
                <c:pt idx="100">
                  <c:v>400</c:v>
                </c:pt>
              </c:numCache>
            </c:numRef>
          </c:cat>
          <c:val>
            <c:numRef>
              <c:f>'Calculations - Dual'!$AJ$5:$AJ$105</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1.2495237247999322</c:v>
                </c:pt>
                <c:pt idx="27">
                  <c:v>1.2545591970657748</c:v>
                </c:pt>
                <c:pt idx="28">
                  <c:v>1.2595022517844596</c:v>
                </c:pt>
                <c:pt idx="29">
                  <c:v>1.2643577980586862</c:v>
                </c:pt>
                <c:pt idx="30">
                  <c:v>1.2691303251851584</c:v>
                </c:pt>
                <c:pt idx="31">
                  <c:v>1.27382395125896</c:v>
                </c:pt>
                <c:pt idx="32">
                  <c:v>1.2784424647735666</c:v>
                </c:pt>
                <c:pt idx="33">
                  <c:v>1.2829893604120697</c:v>
                </c:pt>
                <c:pt idx="34">
                  <c:v>1.2874678699912316</c:v>
                </c:pt>
                <c:pt idx="35">
                  <c:v>1.2918809893373426</c:v>
                </c:pt>
                <c:pt idx="36">
                  <c:v>1.2962315017290809</c:v>
                </c:pt>
                <c:pt idx="37">
                  <c:v>1.3005219984285998</c:v>
                </c:pt>
                <c:pt idx="38">
                  <c:v>1.304754896731037</c:v>
                </c:pt>
                <c:pt idx="39">
                  <c:v>1.308932455889489</c:v>
                </c:pt>
                <c:pt idx="40">
                  <c:v>1.3130567912133264</c:v>
                </c:pt>
                <c:pt idx="41">
                  <c:v>1.3171298865895897</c:v>
                </c:pt>
                <c:pt idx="42">
                  <c:v>1.3211536056378317</c:v>
                </c:pt>
                <c:pt idx="43">
                  <c:v>1.3251297016763812</c:v>
                </c:pt>
                <c:pt idx="44">
                  <c:v>1.3290598266512577</c:v>
                </c:pt>
                <c:pt idx="45">
                  <c:v>1.3329455391567193</c:v>
                </c:pt>
                <c:pt idx="46">
                  <c:v>1.336788311657908</c:v>
                </c:pt>
                <c:pt idx="47">
                  <c:v>1.3405895370105114</c:v>
                </c:pt>
                <c:pt idx="48">
                  <c:v>1.3443505343593045</c:v>
                </c:pt>
                <c:pt idx="49">
                  <c:v>1.3480725544863967</c:v>
                </c:pt>
                <c:pt idx="50">
                  <c:v>1.3517567846706617</c:v>
                </c:pt>
                <c:pt idx="51">
                  <c:v>1.3554043531118709</c:v>
                </c:pt>
                <c:pt idx="52">
                  <c:v>1.4667700998528068</c:v>
                </c:pt>
                <c:pt idx="53">
                  <c:v>1.4760313482117995</c:v>
                </c:pt>
                <c:pt idx="54">
                  <c:v>1.4852925965707922</c:v>
                </c:pt>
                <c:pt idx="55">
                  <c:v>1.494553844929785</c:v>
                </c:pt>
                <c:pt idx="56">
                  <c:v>1.5038150932887777</c:v>
                </c:pt>
                <c:pt idx="57">
                  <c:v>1.5130763416477702</c:v>
                </c:pt>
                <c:pt idx="58">
                  <c:v>1.5223375900067631</c:v>
                </c:pt>
                <c:pt idx="59">
                  <c:v>1.5315988383657557</c:v>
                </c:pt>
                <c:pt idx="60">
                  <c:v>1.5408600867247486</c:v>
                </c:pt>
                <c:pt idx="61">
                  <c:v>1.5501213350837411</c:v>
                </c:pt>
                <c:pt idx="62">
                  <c:v>1.5593825834427339</c:v>
                </c:pt>
                <c:pt idx="63">
                  <c:v>1.5686438318017264</c:v>
                </c:pt>
                <c:pt idx="64">
                  <c:v>1.5779050801607193</c:v>
                </c:pt>
                <c:pt idx="65">
                  <c:v>1.5871663285197122</c:v>
                </c:pt>
                <c:pt idx="66">
                  <c:v>1.5964275768787048</c:v>
                </c:pt>
                <c:pt idx="67">
                  <c:v>1.6056888252376975</c:v>
                </c:pt>
                <c:pt idx="68">
                  <c:v>1.6149500735966904</c:v>
                </c:pt>
                <c:pt idx="69">
                  <c:v>1.6242113219556829</c:v>
                </c:pt>
                <c:pt idx="70">
                  <c:v>1.6334725703146757</c:v>
                </c:pt>
                <c:pt idx="71">
                  <c:v>1.6427338186736684</c:v>
                </c:pt>
                <c:pt idx="72">
                  <c:v>1.6519950670326611</c:v>
                </c:pt>
                <c:pt idx="73">
                  <c:v>1.6612563153916537</c:v>
                </c:pt>
                <c:pt idx="74">
                  <c:v>1.6705175637506464</c:v>
                </c:pt>
                <c:pt idx="75">
                  <c:v>1.6797788121096393</c:v>
                </c:pt>
                <c:pt idx="76">
                  <c:v>1.6890400604686322</c:v>
                </c:pt>
                <c:pt idx="77">
                  <c:v>1.6983013088276246</c:v>
                </c:pt>
                <c:pt idx="78">
                  <c:v>1.7075625571866175</c:v>
                </c:pt>
                <c:pt idx="79">
                  <c:v>1.71682380554561</c:v>
                </c:pt>
                <c:pt idx="80">
                  <c:v>1.7260850539046029</c:v>
                </c:pt>
                <c:pt idx="81">
                  <c:v>1.7353463022635955</c:v>
                </c:pt>
                <c:pt idx="82">
                  <c:v>1.7446075506225882</c:v>
                </c:pt>
                <c:pt idx="83">
                  <c:v>1.7538687989815811</c:v>
                </c:pt>
                <c:pt idx="84">
                  <c:v>1.7631300473405735</c:v>
                </c:pt>
                <c:pt idx="85">
                  <c:v>1.7723912956995664</c:v>
                </c:pt>
                <c:pt idx="86">
                  <c:v>1.7816525440585591</c:v>
                </c:pt>
                <c:pt idx="87">
                  <c:v>1.7909137924175518</c:v>
                </c:pt>
                <c:pt idx="88">
                  <c:v>1.8001750407765447</c:v>
                </c:pt>
                <c:pt idx="89">
                  <c:v>1.8094362891355376</c:v>
                </c:pt>
                <c:pt idx="90">
                  <c:v>1.8186975374945302</c:v>
                </c:pt>
                <c:pt idx="91">
                  <c:v>1.8279587858535229</c:v>
                </c:pt>
                <c:pt idx="92">
                  <c:v>1.8372200342125156</c:v>
                </c:pt>
                <c:pt idx="93">
                  <c:v>1.8464812825715082</c:v>
                </c:pt>
                <c:pt idx="94">
                  <c:v>1.8557425309305009</c:v>
                </c:pt>
                <c:pt idx="95">
                  <c:v>1.8650037792894936</c:v>
                </c:pt>
                <c:pt idx="96">
                  <c:v>1.8742650276484865</c:v>
                </c:pt>
                <c:pt idx="97">
                  <c:v>1.8835262760074793</c:v>
                </c:pt>
                <c:pt idx="98">
                  <c:v>1.892787524366472</c:v>
                </c:pt>
                <c:pt idx="99">
                  <c:v>1.9020487727254647</c:v>
                </c:pt>
                <c:pt idx="100">
                  <c:v>1.9113100210844574</c:v>
                </c:pt>
              </c:numCache>
            </c:numRef>
          </c:val>
          <c:smooth val="0"/>
          <c:extLst>
            <c:ext xmlns:c16="http://schemas.microsoft.com/office/drawing/2014/chart" uri="{C3380CC4-5D6E-409C-BE32-E72D297353CC}">
              <c16:uniqueId val="{00000001-23F4-4815-BCAE-92B929065663}"/>
            </c:ext>
          </c:extLst>
        </c:ser>
        <c:ser>
          <c:idx val="2"/>
          <c:order val="2"/>
          <c:tx>
            <c:v>VIN-max</c:v>
          </c:tx>
          <c:spPr>
            <a:ln>
              <a:solidFill>
                <a:srgbClr val="FF0000"/>
              </a:solidFill>
              <a:prstDash val="solid"/>
            </a:ln>
          </c:spPr>
          <c:marker>
            <c:symbol val="none"/>
          </c:marker>
          <c:val>
            <c:numRef>
              <c:f>'Calculations - Dual'!$AJ$216:$AJ$316</c:f>
              <c:numCache>
                <c:formatCode>0.000</c:formatCode>
                <c:ptCount val="101"/>
                <c:pt idx="0">
                  <c:v>1.0057142857142858</c:v>
                </c:pt>
                <c:pt idx="1">
                  <c:v>1.007927070947285</c:v>
                </c:pt>
                <c:pt idx="2">
                  <c:v>1.0158541418945699</c:v>
                </c:pt>
                <c:pt idx="3">
                  <c:v>1.0237812128418549</c:v>
                </c:pt>
                <c:pt idx="4">
                  <c:v>1.0317082837891398</c:v>
                </c:pt>
                <c:pt idx="5">
                  <c:v>1.039635354736425</c:v>
                </c:pt>
                <c:pt idx="6">
                  <c:v>1.0475624256837099</c:v>
                </c:pt>
                <c:pt idx="7">
                  <c:v>1.0554894966309949</c:v>
                </c:pt>
                <c:pt idx="8">
                  <c:v>1.0634165675782798</c:v>
                </c:pt>
                <c:pt idx="9">
                  <c:v>1.0713436385255648</c:v>
                </c:pt>
                <c:pt idx="10">
                  <c:v>1.0792707094728498</c:v>
                </c:pt>
                <c:pt idx="11">
                  <c:v>1.0871977804201347</c:v>
                </c:pt>
                <c:pt idx="12">
                  <c:v>1.0951248513674197</c:v>
                </c:pt>
                <c:pt idx="13">
                  <c:v>1.1030519223147048</c:v>
                </c:pt>
                <c:pt idx="14">
                  <c:v>1.1109789932619898</c:v>
                </c:pt>
                <c:pt idx="15">
                  <c:v>1.1189060642092747</c:v>
                </c:pt>
                <c:pt idx="16">
                  <c:v>1.1268331351565597</c:v>
                </c:pt>
                <c:pt idx="17">
                  <c:v>1.1347602061038446</c:v>
                </c:pt>
                <c:pt idx="18">
                  <c:v>1.1426872770511296</c:v>
                </c:pt>
                <c:pt idx="19">
                  <c:v>1.1506143479984146</c:v>
                </c:pt>
                <c:pt idx="20">
                  <c:v>1.1585414189456995</c:v>
                </c:pt>
                <c:pt idx="21">
                  <c:v>1.1664684898929847</c:v>
                </c:pt>
                <c:pt idx="22">
                  <c:v>1.1743955608402696</c:v>
                </c:pt>
                <c:pt idx="23">
                  <c:v>1.1823226317875546</c:v>
                </c:pt>
                <c:pt idx="24">
                  <c:v>1.1902497027348395</c:v>
                </c:pt>
                <c:pt idx="25">
                  <c:v>1.1981767736821245</c:v>
                </c:pt>
                <c:pt idx="26">
                  <c:v>1.2495237247999322</c:v>
                </c:pt>
                <c:pt idx="27">
                  <c:v>1.2545591970657748</c:v>
                </c:pt>
                <c:pt idx="28">
                  <c:v>1.2595022517844596</c:v>
                </c:pt>
                <c:pt idx="29">
                  <c:v>1.2643577980586862</c:v>
                </c:pt>
                <c:pt idx="30">
                  <c:v>1.2691303251851584</c:v>
                </c:pt>
                <c:pt idx="31">
                  <c:v>1.27382395125896</c:v>
                </c:pt>
                <c:pt idx="32">
                  <c:v>1.2784424647735666</c:v>
                </c:pt>
                <c:pt idx="33">
                  <c:v>1.2829893604120697</c:v>
                </c:pt>
                <c:pt idx="34">
                  <c:v>1.2874678699912316</c:v>
                </c:pt>
                <c:pt idx="35">
                  <c:v>1.2918809893373426</c:v>
                </c:pt>
                <c:pt idx="36">
                  <c:v>1.2962315017290809</c:v>
                </c:pt>
                <c:pt idx="37">
                  <c:v>1.3005219984285998</c:v>
                </c:pt>
                <c:pt idx="38">
                  <c:v>1.3209510066652925</c:v>
                </c:pt>
                <c:pt idx="39">
                  <c:v>1.3297869493358216</c:v>
                </c:pt>
                <c:pt idx="40">
                  <c:v>1.3386228920063508</c:v>
                </c:pt>
                <c:pt idx="41">
                  <c:v>1.3474588346768797</c:v>
                </c:pt>
                <c:pt idx="42">
                  <c:v>1.356294777347409</c:v>
                </c:pt>
                <c:pt idx="43">
                  <c:v>1.3651307200179379</c:v>
                </c:pt>
                <c:pt idx="44">
                  <c:v>1.3739666626884672</c:v>
                </c:pt>
                <c:pt idx="45">
                  <c:v>1.3828026053589964</c:v>
                </c:pt>
                <c:pt idx="46">
                  <c:v>1.3916385480295255</c:v>
                </c:pt>
                <c:pt idx="47">
                  <c:v>1.4004744907000546</c:v>
                </c:pt>
                <c:pt idx="48">
                  <c:v>1.4093104333705837</c:v>
                </c:pt>
                <c:pt idx="49">
                  <c:v>1.418146376041113</c:v>
                </c:pt>
                <c:pt idx="50">
                  <c:v>1.4269823187116422</c:v>
                </c:pt>
                <c:pt idx="51">
                  <c:v>1.4358182613821713</c:v>
                </c:pt>
                <c:pt idx="52">
                  <c:v>1.4446542040527004</c:v>
                </c:pt>
                <c:pt idx="53">
                  <c:v>1.4534901467232295</c:v>
                </c:pt>
                <c:pt idx="54">
                  <c:v>1.4623260893937586</c:v>
                </c:pt>
                <c:pt idx="55">
                  <c:v>1.4711620320642878</c:v>
                </c:pt>
                <c:pt idx="56">
                  <c:v>1.4799979747348169</c:v>
                </c:pt>
                <c:pt idx="57">
                  <c:v>1.488833917405346</c:v>
                </c:pt>
                <c:pt idx="58">
                  <c:v>1.4976698600758751</c:v>
                </c:pt>
                <c:pt idx="59">
                  <c:v>1.5065058027464042</c:v>
                </c:pt>
                <c:pt idx="60">
                  <c:v>1.5153417454169333</c:v>
                </c:pt>
                <c:pt idx="61">
                  <c:v>1.5241776880874625</c:v>
                </c:pt>
                <c:pt idx="62">
                  <c:v>1.5330136307579916</c:v>
                </c:pt>
                <c:pt idx="63">
                  <c:v>1.5418495734285207</c:v>
                </c:pt>
                <c:pt idx="64">
                  <c:v>1.55068551609905</c:v>
                </c:pt>
                <c:pt idx="65">
                  <c:v>1.5595214587695789</c:v>
                </c:pt>
                <c:pt idx="66">
                  <c:v>1.5683574014401083</c:v>
                </c:pt>
                <c:pt idx="67">
                  <c:v>1.5771933441106374</c:v>
                </c:pt>
                <c:pt idx="68">
                  <c:v>1.5860292867811665</c:v>
                </c:pt>
                <c:pt idx="69">
                  <c:v>1.5948652294516954</c:v>
                </c:pt>
                <c:pt idx="70">
                  <c:v>1.6037011721222247</c:v>
                </c:pt>
                <c:pt idx="71">
                  <c:v>1.6125371147927539</c:v>
                </c:pt>
                <c:pt idx="72">
                  <c:v>1.6213730574632828</c:v>
                </c:pt>
                <c:pt idx="73">
                  <c:v>1.6302090001338121</c:v>
                </c:pt>
                <c:pt idx="74">
                  <c:v>1.6390449428043412</c:v>
                </c:pt>
                <c:pt idx="75">
                  <c:v>1.6478808854748705</c:v>
                </c:pt>
                <c:pt idx="76">
                  <c:v>1.6567168281453997</c:v>
                </c:pt>
                <c:pt idx="77">
                  <c:v>1.6655527708159288</c:v>
                </c:pt>
                <c:pt idx="78">
                  <c:v>1.6743887134864579</c:v>
                </c:pt>
                <c:pt idx="79">
                  <c:v>1.683224656156987</c:v>
                </c:pt>
                <c:pt idx="80">
                  <c:v>1.6920605988275164</c:v>
                </c:pt>
                <c:pt idx="81">
                  <c:v>1.7008965414980453</c:v>
                </c:pt>
                <c:pt idx="82">
                  <c:v>1.7097324841685744</c:v>
                </c:pt>
                <c:pt idx="83">
                  <c:v>1.7185684268391035</c:v>
                </c:pt>
                <c:pt idx="84">
                  <c:v>1.7274043695096326</c:v>
                </c:pt>
                <c:pt idx="85">
                  <c:v>1.7362403121801617</c:v>
                </c:pt>
                <c:pt idx="86">
                  <c:v>1.7450762548506908</c:v>
                </c:pt>
                <c:pt idx="87">
                  <c:v>1.75391219752122</c:v>
                </c:pt>
                <c:pt idx="88">
                  <c:v>1.7627481401917491</c:v>
                </c:pt>
                <c:pt idx="89">
                  <c:v>1.7715840828622782</c:v>
                </c:pt>
                <c:pt idx="90">
                  <c:v>1.7804200255328073</c:v>
                </c:pt>
                <c:pt idx="91">
                  <c:v>1.7892559682033367</c:v>
                </c:pt>
                <c:pt idx="92">
                  <c:v>1.7980919108738658</c:v>
                </c:pt>
                <c:pt idx="93">
                  <c:v>1.8069278535443949</c:v>
                </c:pt>
                <c:pt idx="94">
                  <c:v>1.815763796214924</c:v>
                </c:pt>
                <c:pt idx="95">
                  <c:v>1.8245997388854531</c:v>
                </c:pt>
                <c:pt idx="96">
                  <c:v>1.8334356815559825</c:v>
                </c:pt>
                <c:pt idx="97">
                  <c:v>1.8422716242265116</c:v>
                </c:pt>
                <c:pt idx="98">
                  <c:v>1.8511075668970407</c:v>
                </c:pt>
                <c:pt idx="99">
                  <c:v>1.8599435095675698</c:v>
                </c:pt>
                <c:pt idx="100">
                  <c:v>1.8687794522380989</c:v>
                </c:pt>
              </c:numCache>
            </c:numRef>
          </c:val>
          <c:smooth val="0"/>
          <c:extLst>
            <c:ext xmlns:c16="http://schemas.microsoft.com/office/drawing/2014/chart" uri="{C3380CC4-5D6E-409C-BE32-E72D297353CC}">
              <c16:uniqueId val="{00000002-23F4-4815-BCAE-92B929065663}"/>
            </c:ext>
          </c:extLst>
        </c:ser>
        <c:dLbls>
          <c:showLegendKey val="0"/>
          <c:showVal val="0"/>
          <c:showCatName val="0"/>
          <c:showSerName val="0"/>
          <c:showPercent val="0"/>
          <c:showBubbleSize val="0"/>
        </c:dLbls>
        <c:smooth val="0"/>
        <c:axId val="130448000"/>
        <c:axId val="130454272"/>
      </c:lineChart>
      <c:catAx>
        <c:axId val="130448000"/>
        <c:scaling>
          <c:orientation val="minMax"/>
        </c:scaling>
        <c:delete val="0"/>
        <c:axPos val="b"/>
        <c:majorGridlines>
          <c:spPr>
            <a:ln w="15875">
              <a:solidFill>
                <a:srgbClr val="969696"/>
              </a:solidFill>
              <a:prstDash val="sysDash"/>
            </a:ln>
          </c:spPr>
        </c:majorGridlines>
        <c:title>
          <c:tx>
            <c:rich>
              <a:bodyPr/>
              <a:lstStyle/>
              <a:p>
                <a:pPr>
                  <a:defRPr sz="1200" b="1" i="0" u="none" strike="noStrike" baseline="0">
                    <a:solidFill>
                      <a:schemeClr val="tx1"/>
                    </a:solidFill>
                    <a:latin typeface="Arial" pitchFamily="34" charset="0"/>
                    <a:ea typeface="Calibri"/>
                    <a:cs typeface="Arial" pitchFamily="34" charset="0"/>
                  </a:defRPr>
                </a:pPr>
                <a:r>
                  <a:rPr lang="en-US" sz="1200">
                    <a:solidFill>
                      <a:schemeClr val="tx1"/>
                    </a:solidFill>
                    <a:latin typeface="Arial" pitchFamily="34" charset="0"/>
                    <a:cs typeface="Arial" pitchFamily="34" charset="0"/>
                  </a:rPr>
                  <a:t>Load Current (mA)</a:t>
                </a:r>
              </a:p>
            </c:rich>
          </c:tx>
          <c:layout>
            <c:manualLayout>
              <c:xMode val="edge"/>
              <c:yMode val="edge"/>
              <c:x val="0.45424135936496307"/>
              <c:y val="0.9410669161053864"/>
            </c:manualLayout>
          </c:layout>
          <c:overlay val="0"/>
          <c:spPr>
            <a:noFill/>
            <a:ln w="25400">
              <a:noFill/>
            </a:ln>
          </c:spPr>
        </c:title>
        <c:numFmt formatCode="0" sourceLinked="1"/>
        <c:majorTickMark val="in"/>
        <c:minorTickMark val="in"/>
        <c:tickLblPos val="nextTo"/>
        <c:spPr>
          <a:ln w="3175">
            <a:solidFill>
              <a:schemeClr val="tx1"/>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30454272"/>
        <c:crosses val="autoZero"/>
        <c:auto val="1"/>
        <c:lblAlgn val="ctr"/>
        <c:lblOffset val="100"/>
        <c:tickLblSkip val="20"/>
        <c:tickMarkSkip val="10"/>
        <c:noMultiLvlLbl val="0"/>
      </c:catAx>
      <c:valAx>
        <c:axId val="130454272"/>
        <c:scaling>
          <c:orientation val="minMax"/>
          <c:max val="2.2000000000000002"/>
          <c:min val="1"/>
        </c:scaling>
        <c:delete val="0"/>
        <c:axPos val="l"/>
        <c:majorGridlines>
          <c:spPr>
            <a:ln w="15875">
              <a:solidFill>
                <a:srgbClr val="808080"/>
              </a:solidFill>
              <a:prstDash val="solid"/>
            </a:ln>
          </c:spPr>
        </c:majorGridlines>
        <c:title>
          <c:tx>
            <c:rich>
              <a:bodyPr/>
              <a:lstStyle/>
              <a:p>
                <a:pPr>
                  <a:defRPr sz="1400" b="1" i="0" u="none" strike="noStrike" baseline="0">
                    <a:solidFill>
                      <a:schemeClr val="tx1"/>
                    </a:solidFill>
                    <a:latin typeface="Arial" pitchFamily="34" charset="0"/>
                    <a:ea typeface="Calibri"/>
                    <a:cs typeface="Arial" pitchFamily="34" charset="0"/>
                  </a:defRPr>
                </a:pPr>
                <a:r>
                  <a:rPr lang="en-US" sz="1200" b="1">
                    <a:solidFill>
                      <a:schemeClr val="tx1"/>
                    </a:solidFill>
                    <a:latin typeface="Arial" pitchFamily="34" charset="0"/>
                    <a:cs typeface="Arial" pitchFamily="34" charset="0"/>
                  </a:rPr>
                  <a:t>COMP</a:t>
                </a:r>
                <a:r>
                  <a:rPr lang="en-US" sz="1200" b="1" baseline="0">
                    <a:solidFill>
                      <a:schemeClr val="tx1"/>
                    </a:solidFill>
                    <a:latin typeface="Arial" pitchFamily="34" charset="0"/>
                    <a:cs typeface="Arial" pitchFamily="34" charset="0"/>
                  </a:rPr>
                  <a:t> Voltage (V)</a:t>
                </a:r>
                <a:endParaRPr lang="en-US" sz="1200" b="1">
                  <a:solidFill>
                    <a:schemeClr val="tx1"/>
                  </a:solidFill>
                  <a:latin typeface="Arial" pitchFamily="34" charset="0"/>
                  <a:cs typeface="Arial" pitchFamily="34" charset="0"/>
                </a:endParaRPr>
              </a:p>
            </c:rich>
          </c:tx>
          <c:layout>
            <c:manualLayout>
              <c:xMode val="edge"/>
              <c:yMode val="edge"/>
              <c:x val="1.5939635452545176E-2"/>
              <c:y val="0.34603169988013316"/>
            </c:manualLayout>
          </c:layout>
          <c:overlay val="0"/>
          <c:spPr>
            <a:noFill/>
            <a:ln w="25400">
              <a:noFill/>
            </a:ln>
          </c:spPr>
        </c:title>
        <c:numFmt formatCode="#,##0.0" sourceLinked="0"/>
        <c:majorTickMark val="out"/>
        <c:minorTickMark val="in"/>
        <c:tickLblPos val="nextTo"/>
        <c:spPr>
          <a:ln w="3175">
            <a:solidFill>
              <a:srgbClr val="000000"/>
            </a:solidFill>
            <a:prstDash val="solid"/>
          </a:ln>
        </c:spPr>
        <c:txPr>
          <a:bodyPr rot="0" vert="horz"/>
          <a:lstStyle/>
          <a:p>
            <a:pPr>
              <a:defRPr sz="1100" b="1" i="0" u="none" strike="noStrike" baseline="0">
                <a:solidFill>
                  <a:schemeClr val="tx1"/>
                </a:solidFill>
                <a:latin typeface="Arial" pitchFamily="34" charset="0"/>
                <a:ea typeface="Calibri"/>
                <a:cs typeface="Arial" pitchFamily="34" charset="0"/>
              </a:defRPr>
            </a:pPr>
            <a:endParaRPr lang="ja-JP"/>
          </a:p>
        </c:txPr>
        <c:crossAx val="130448000"/>
        <c:crossesAt val="0"/>
        <c:crossBetween val="between"/>
        <c:majorUnit val="0.2"/>
        <c:minorUnit val="0.1"/>
      </c:valAx>
      <c:spPr>
        <a:solidFill>
          <a:srgbClr val="FFFFFF"/>
        </a:solidFill>
        <a:ln w="25400">
          <a:noFill/>
        </a:ln>
      </c:spPr>
    </c:plotArea>
    <c:legend>
      <c:legendPos val="t"/>
      <c:layout>
        <c:manualLayout>
          <c:xMode val="edge"/>
          <c:yMode val="edge"/>
          <c:x val="0.50279342989103104"/>
          <c:y val="1.6951025877806759E-2"/>
          <c:w val="0.44417947756530435"/>
          <c:h val="8.9795049320617604E-2"/>
        </c:manualLayout>
      </c:layout>
      <c:overlay val="0"/>
      <c:spPr>
        <a:solidFill>
          <a:srgbClr val="FFFFFF"/>
        </a:solidFill>
        <a:ln w="25400">
          <a:noFill/>
        </a:ln>
      </c:spPr>
      <c:txPr>
        <a:bodyPr/>
        <a:lstStyle/>
        <a:p>
          <a:pPr>
            <a:defRPr sz="14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800" b="1" i="0" u="none" strike="noStrike" kern="1200" baseline="0">
                <a:solidFill>
                  <a:srgbClr val="000000"/>
                </a:solidFill>
                <a:latin typeface="Arial" pitchFamily="34" charset="0"/>
                <a:ea typeface="Calibri"/>
                <a:cs typeface="Arial" pitchFamily="34" charset="0"/>
              </a:defRPr>
            </a:pPr>
            <a:r>
              <a:rPr lang="en-US" sz="1800" b="1" i="0" baseline="0">
                <a:effectLst/>
                <a:sym typeface="Symbol"/>
              </a:rPr>
              <a:t></a:t>
            </a:r>
            <a:r>
              <a:rPr lang="en-US" sz="1800" b="1" i="0" baseline="0">
                <a:effectLst/>
              </a:rPr>
              <a:t>, V</a:t>
            </a:r>
            <a:r>
              <a:rPr lang="en-US" sz="1800" b="1" i="0" baseline="-25000">
                <a:effectLst/>
              </a:rPr>
              <a:t>IN</a:t>
            </a:r>
            <a:r>
              <a:rPr lang="en-US" sz="1800" b="1" i="0" baseline="0">
                <a:effectLst/>
              </a:rPr>
              <a:t> = V</a:t>
            </a:r>
            <a:r>
              <a:rPr lang="en-US" sz="1800" b="1" i="0" baseline="-25000">
                <a:effectLst/>
              </a:rPr>
              <a:t>IN(nom)</a:t>
            </a:r>
            <a:endParaRPr lang="en-US">
              <a:effectLst/>
            </a:endParaRPr>
          </a:p>
        </c:rich>
      </c:tx>
      <c:layout>
        <c:manualLayout>
          <c:xMode val="edge"/>
          <c:yMode val="edge"/>
          <c:x val="8.2586704916618195E-2"/>
          <c:y val="1.8363289746112718E-2"/>
        </c:manualLayout>
      </c:layout>
      <c:overlay val="0"/>
      <c:spPr>
        <a:noFill/>
        <a:ln w="25400">
          <a:noFill/>
        </a:ln>
      </c:spPr>
    </c:title>
    <c:autoTitleDeleted val="0"/>
    <c:plotArea>
      <c:layout>
        <c:manualLayout>
          <c:layoutTarget val="inner"/>
          <c:xMode val="edge"/>
          <c:yMode val="edge"/>
          <c:x val="7.6761884085804283E-2"/>
          <c:y val="0.12133523343001466"/>
          <c:w val="0.82579990228506128"/>
          <c:h val="0.7558980268938309"/>
        </c:manualLayout>
      </c:layout>
      <c:lineChart>
        <c:grouping val="standard"/>
        <c:varyColors val="0"/>
        <c:ser>
          <c:idx val="0"/>
          <c:order val="0"/>
          <c:tx>
            <c:v>Efficiency</c:v>
          </c:tx>
          <c:spPr>
            <a:ln w="38100">
              <a:solidFill>
                <a:srgbClr val="FF0000"/>
              </a:solidFill>
              <a:prstDash val="solid"/>
            </a:ln>
          </c:spPr>
          <c:marker>
            <c:symbol val="none"/>
          </c:marker>
          <c:cat>
            <c:numRef>
              <c:f>'Calculations - Dual'!$CB$5:$CB$105</c:f>
              <c:numCache>
                <c:formatCode>General</c:formatCode>
                <c:ptCount val="101"/>
                <c:pt idx="0">
                  <c:v>0</c:v>
                </c:pt>
                <c:pt idx="1">
                  <c:v>1</c:v>
                </c:pt>
                <c:pt idx="2">
                  <c:v>2</c:v>
                </c:pt>
                <c:pt idx="3">
                  <c:v>3</c:v>
                </c:pt>
                <c:pt idx="4">
                  <c:v>4</c:v>
                </c:pt>
                <c:pt idx="5">
                  <c:v>5.0000000000000009</c:v>
                </c:pt>
                <c:pt idx="6">
                  <c:v>6</c:v>
                </c:pt>
                <c:pt idx="7">
                  <c:v>7.0000000000000009</c:v>
                </c:pt>
                <c:pt idx="8">
                  <c:v>8</c:v>
                </c:pt>
                <c:pt idx="9">
                  <c:v>8.9999999999999982</c:v>
                </c:pt>
                <c:pt idx="10">
                  <c:v>10.000000000000002</c:v>
                </c:pt>
                <c:pt idx="11">
                  <c:v>11</c:v>
                </c:pt>
                <c:pt idx="12">
                  <c:v>12</c:v>
                </c:pt>
                <c:pt idx="13">
                  <c:v>13</c:v>
                </c:pt>
                <c:pt idx="14">
                  <c:v>14.000000000000002</c:v>
                </c:pt>
                <c:pt idx="15">
                  <c:v>15</c:v>
                </c:pt>
                <c:pt idx="16">
                  <c:v>16</c:v>
                </c:pt>
                <c:pt idx="17">
                  <c:v>17</c:v>
                </c:pt>
                <c:pt idx="18">
                  <c:v>17.999999999999996</c:v>
                </c:pt>
                <c:pt idx="19">
                  <c:v>19.000000000000004</c:v>
                </c:pt>
                <c:pt idx="20">
                  <c:v>20.000000000000004</c:v>
                </c:pt>
                <c:pt idx="21">
                  <c:v>21</c:v>
                </c:pt>
                <c:pt idx="22">
                  <c:v>22</c:v>
                </c:pt>
                <c:pt idx="23">
                  <c:v>23</c:v>
                </c:pt>
                <c:pt idx="24">
                  <c:v>24</c:v>
                </c:pt>
                <c:pt idx="25">
                  <c:v>25</c:v>
                </c:pt>
                <c:pt idx="26">
                  <c:v>26</c:v>
                </c:pt>
                <c:pt idx="27">
                  <c:v>27</c:v>
                </c:pt>
                <c:pt idx="28">
                  <c:v>28.000000000000004</c:v>
                </c:pt>
                <c:pt idx="29">
                  <c:v>28.999999999999996</c:v>
                </c:pt>
                <c:pt idx="30">
                  <c:v>30</c:v>
                </c:pt>
                <c:pt idx="31">
                  <c:v>31</c:v>
                </c:pt>
                <c:pt idx="32">
                  <c:v>32</c:v>
                </c:pt>
                <c:pt idx="33">
                  <c:v>33</c:v>
                </c:pt>
                <c:pt idx="34">
                  <c:v>34</c:v>
                </c:pt>
                <c:pt idx="35">
                  <c:v>34.999999999999993</c:v>
                </c:pt>
                <c:pt idx="36">
                  <c:v>35.999999999999993</c:v>
                </c:pt>
                <c:pt idx="37">
                  <c:v>36.999999999999993</c:v>
                </c:pt>
                <c:pt idx="38">
                  <c:v>38.000000000000007</c:v>
                </c:pt>
                <c:pt idx="39">
                  <c:v>39.000000000000007</c:v>
                </c:pt>
                <c:pt idx="40">
                  <c:v>40.000000000000007</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55.000000000000007</c:v>
                </c:pt>
                <c:pt idx="56">
                  <c:v>56.000000000000007</c:v>
                </c:pt>
                <c:pt idx="57">
                  <c:v>56.999999999999993</c:v>
                </c:pt>
                <c:pt idx="58">
                  <c:v>57.999999999999993</c:v>
                </c:pt>
                <c:pt idx="59">
                  <c:v>59</c:v>
                </c:pt>
                <c:pt idx="60">
                  <c:v>60</c:v>
                </c:pt>
                <c:pt idx="61">
                  <c:v>61</c:v>
                </c:pt>
                <c:pt idx="62">
                  <c:v>62</c:v>
                </c:pt>
                <c:pt idx="63">
                  <c:v>63</c:v>
                </c:pt>
                <c:pt idx="64">
                  <c:v>64</c:v>
                </c:pt>
                <c:pt idx="65">
                  <c:v>65</c:v>
                </c:pt>
                <c:pt idx="66">
                  <c:v>66</c:v>
                </c:pt>
                <c:pt idx="67">
                  <c:v>67</c:v>
                </c:pt>
                <c:pt idx="68">
                  <c:v>68</c:v>
                </c:pt>
                <c:pt idx="69">
                  <c:v>68.999999999999986</c:v>
                </c:pt>
                <c:pt idx="70">
                  <c:v>69.999999999999986</c:v>
                </c:pt>
                <c:pt idx="71">
                  <c:v>70.999999999999986</c:v>
                </c:pt>
                <c:pt idx="72">
                  <c:v>71.999999999999986</c:v>
                </c:pt>
                <c:pt idx="73">
                  <c:v>72.999999999999986</c:v>
                </c:pt>
                <c:pt idx="74">
                  <c:v>73.999999999999986</c:v>
                </c:pt>
                <c:pt idx="75">
                  <c:v>75.000000000000014</c:v>
                </c:pt>
                <c:pt idx="76">
                  <c:v>76.000000000000014</c:v>
                </c:pt>
                <c:pt idx="77">
                  <c:v>77.000000000000014</c:v>
                </c:pt>
                <c:pt idx="78">
                  <c:v>78.000000000000014</c:v>
                </c:pt>
                <c:pt idx="79">
                  <c:v>79.000000000000014</c:v>
                </c:pt>
                <c:pt idx="80">
                  <c:v>80.000000000000014</c:v>
                </c:pt>
                <c:pt idx="81">
                  <c:v>81.000000000000014</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numCache>
            </c:numRef>
          </c:cat>
          <c:val>
            <c:numRef>
              <c:f>'Calculations - Dual'!$CA$5:$CA$105</c:f>
              <c:numCache>
                <c:formatCode>0.00</c:formatCode>
                <c:ptCount val="101"/>
                <c:pt idx="0">
                  <c:v>1.0709284977709222E-4</c:v>
                </c:pt>
                <c:pt idx="1">
                  <c:v>74.077590689800303</c:v>
                </c:pt>
                <c:pt idx="2">
                  <c:v>82.508065466030615</c:v>
                </c:pt>
                <c:pt idx="3">
                  <c:v>85.758424826439025</c:v>
                </c:pt>
                <c:pt idx="4">
                  <c:v>87.478683727343878</c:v>
                </c:pt>
                <c:pt idx="5">
                  <c:v>88.541647862982174</c:v>
                </c:pt>
                <c:pt idx="6">
                  <c:v>89.26218792146085</c:v>
                </c:pt>
                <c:pt idx="7">
                  <c:v>89.781643382766006</c:v>
                </c:pt>
                <c:pt idx="8">
                  <c:v>90.172899133814042</c:v>
                </c:pt>
                <c:pt idx="9">
                  <c:v>90.477357150702346</c:v>
                </c:pt>
                <c:pt idx="10">
                  <c:v>90.720281739224305</c:v>
                </c:pt>
                <c:pt idx="11">
                  <c:v>90.917966173508432</c:v>
                </c:pt>
                <c:pt idx="12">
                  <c:v>91.08139141683283</c:v>
                </c:pt>
                <c:pt idx="13">
                  <c:v>91.218229109543685</c:v>
                </c:pt>
                <c:pt idx="14">
                  <c:v>91.334001721863885</c:v>
                </c:pt>
                <c:pt idx="15">
                  <c:v>91.432786541067586</c:v>
                </c:pt>
                <c:pt idx="16">
                  <c:v>91.517659892400772</c:v>
                </c:pt>
                <c:pt idx="17">
                  <c:v>91.590986951332212</c:v>
                </c:pt>
                <c:pt idx="18">
                  <c:v>91.550126372802367</c:v>
                </c:pt>
                <c:pt idx="19">
                  <c:v>91.48369143967949</c:v>
                </c:pt>
                <c:pt idx="20">
                  <c:v>91.413823066029053</c:v>
                </c:pt>
                <c:pt idx="21">
                  <c:v>91.340686490505135</c:v>
                </c:pt>
                <c:pt idx="22">
                  <c:v>91.264397494377732</c:v>
                </c:pt>
                <c:pt idx="23">
                  <c:v>91.185034225735052</c:v>
                </c:pt>
                <c:pt idx="24">
                  <c:v>91.102645974827652</c:v>
                </c:pt>
                <c:pt idx="25">
                  <c:v>91.017259771202902</c:v>
                </c:pt>
                <c:pt idx="26">
                  <c:v>91.095638408573194</c:v>
                </c:pt>
                <c:pt idx="27">
                  <c:v>91.215858908225599</c:v>
                </c:pt>
                <c:pt idx="28">
                  <c:v>91.328259513945781</c:v>
                </c:pt>
                <c:pt idx="29">
                  <c:v>91.43359504684615</c:v>
                </c:pt>
                <c:pt idx="30">
                  <c:v>91.532525044155989</c:v>
                </c:pt>
                <c:pt idx="31">
                  <c:v>91.625628431911267</c:v>
                </c:pt>
                <c:pt idx="32">
                  <c:v>91.713415556449903</c:v>
                </c:pt>
                <c:pt idx="33">
                  <c:v>91.798938784464937</c:v>
                </c:pt>
                <c:pt idx="34">
                  <c:v>92.020227432329705</c:v>
                </c:pt>
                <c:pt idx="35">
                  <c:v>92.225227220077372</c:v>
                </c:pt>
                <c:pt idx="36">
                  <c:v>92.415532600976221</c:v>
                </c:pt>
                <c:pt idx="37">
                  <c:v>92.592546530306336</c:v>
                </c:pt>
                <c:pt idx="38">
                  <c:v>92.757507390270902</c:v>
                </c:pt>
                <c:pt idx="39">
                  <c:v>92.911511618110154</c:v>
                </c:pt>
                <c:pt idx="40">
                  <c:v>93.055532798725665</c:v>
                </c:pt>
                <c:pt idx="41">
                  <c:v>93.19043783583021</c:v>
                </c:pt>
                <c:pt idx="42">
                  <c:v>93.317000699058255</c:v>
                </c:pt>
                <c:pt idx="43">
                  <c:v>93.43591415177616</c:v>
                </c:pt>
                <c:pt idx="44">
                  <c:v>93.547799790295713</c:v>
                </c:pt>
                <c:pt idx="45">
                  <c:v>93.653216665804393</c:v>
                </c:pt>
                <c:pt idx="46">
                  <c:v>93.752668712480286</c:v>
                </c:pt>
                <c:pt idx="47">
                  <c:v>93.846611166555675</c:v>
                </c:pt>
                <c:pt idx="48">
                  <c:v>93.935456129657553</c:v>
                </c:pt>
                <c:pt idx="49">
                  <c:v>94.019577404122302</c:v>
                </c:pt>
                <c:pt idx="50">
                  <c:v>94.099314707002762</c:v>
                </c:pt>
                <c:pt idx="51">
                  <c:v>94.174977352252981</c:v>
                </c:pt>
                <c:pt idx="52">
                  <c:v>93.031110628822219</c:v>
                </c:pt>
                <c:pt idx="53">
                  <c:v>93.058417091848426</c:v>
                </c:pt>
                <c:pt idx="54">
                  <c:v>93.083182031850271</c:v>
                </c:pt>
                <c:pt idx="55">
                  <c:v>93.105563687827072</c:v>
                </c:pt>
                <c:pt idx="56">
                  <c:v>93.125707675374684</c:v>
                </c:pt>
                <c:pt idx="57">
                  <c:v>93.143748196301345</c:v>
                </c:pt>
                <c:pt idx="58">
                  <c:v>93.159809113673518</c:v>
                </c:pt>
                <c:pt idx="59">
                  <c:v>93.17400490924264</c:v>
                </c:pt>
                <c:pt idx="60">
                  <c:v>93.186441537831016</c:v>
                </c:pt>
                <c:pt idx="61">
                  <c:v>93.197217191244391</c:v>
                </c:pt>
                <c:pt idx="62">
                  <c:v>93.20642298257323</c:v>
                </c:pt>
                <c:pt idx="63">
                  <c:v>93.214143560293209</c:v>
                </c:pt>
                <c:pt idx="64">
                  <c:v>93.220457660336763</c:v>
                </c:pt>
                <c:pt idx="65">
                  <c:v>93.225438603247284</c:v>
                </c:pt>
                <c:pt idx="66">
                  <c:v>93.229154742619542</c:v>
                </c:pt>
                <c:pt idx="67">
                  <c:v>93.23166987024851</c:v>
                </c:pt>
                <c:pt idx="68">
                  <c:v>93.233043582735519</c:v>
                </c:pt>
                <c:pt idx="69">
                  <c:v>93.233331613719884</c:v>
                </c:pt>
                <c:pt idx="70">
                  <c:v>93.232586135400922</c:v>
                </c:pt>
                <c:pt idx="71">
                  <c:v>93.230856032579325</c:v>
                </c:pt>
                <c:pt idx="72">
                  <c:v>93.22818715206752</c:v>
                </c:pt>
                <c:pt idx="73">
                  <c:v>93.224622529988949</c:v>
                </c:pt>
                <c:pt idx="74">
                  <c:v>93.220202599197847</c:v>
                </c:pt>
                <c:pt idx="75">
                  <c:v>93.214965378799647</c:v>
                </c:pt>
                <c:pt idx="76">
                  <c:v>93.208946647531704</c:v>
                </c:pt>
                <c:pt idx="77">
                  <c:v>93.202180102570225</c:v>
                </c:pt>
                <c:pt idx="78">
                  <c:v>93.194697505159951</c:v>
                </c:pt>
                <c:pt idx="79">
                  <c:v>93.186528814312979</c:v>
                </c:pt>
                <c:pt idx="80">
                  <c:v>93.177702309691369</c:v>
                </c:pt>
                <c:pt idx="81">
                  <c:v>93.16824470467175</c:v>
                </c:pt>
                <c:pt idx="82">
                  <c:v>93.158181250486678</c:v>
                </c:pt>
                <c:pt idx="83">
                  <c:v>93.147535832246604</c:v>
                </c:pt>
                <c:pt idx="84">
                  <c:v>93.136331057564902</c:v>
                </c:pt>
                <c:pt idx="85">
                  <c:v>93.124588338436482</c:v>
                </c:pt>
                <c:pt idx="86">
                  <c:v>93.112327966956471</c:v>
                </c:pt>
                <c:pt idx="87">
                  <c:v>93.099569185408214</c:v>
                </c:pt>
                <c:pt idx="88">
                  <c:v>93.086330251199072</c:v>
                </c:pt>
                <c:pt idx="89">
                  <c:v>93.072628497076465</c:v>
                </c:pt>
                <c:pt idx="90">
                  <c:v>93.058480387016544</c:v>
                </c:pt>
                <c:pt idx="91">
                  <c:v>93.043901568140669</c:v>
                </c:pt>
                <c:pt idx="92">
                  <c:v>93.028906918982486</c:v>
                </c:pt>
                <c:pt idx="93">
                  <c:v>93.013510594399179</c:v>
                </c:pt>
                <c:pt idx="94">
                  <c:v>92.997726067393288</c:v>
                </c:pt>
                <c:pt idx="95">
                  <c:v>92.981566168088506</c:v>
                </c:pt>
                <c:pt idx="96">
                  <c:v>92.965043120080736</c:v>
                </c:pt>
                <c:pt idx="97">
                  <c:v>92.948168574366974</c:v>
                </c:pt>
                <c:pt idx="98">
                  <c:v>92.93095364103624</c:v>
                </c:pt>
                <c:pt idx="99">
                  <c:v>92.913408918891875</c:v>
                </c:pt>
                <c:pt idx="100">
                  <c:v>92.895544523159515</c:v>
                </c:pt>
              </c:numCache>
            </c:numRef>
          </c:val>
          <c:smooth val="0"/>
          <c:extLst>
            <c:ext xmlns:c16="http://schemas.microsoft.com/office/drawing/2014/chart" uri="{C3380CC4-5D6E-409C-BE32-E72D297353CC}">
              <c16:uniqueId val="{00000000-9272-4546-B6BD-648525E6FC69}"/>
            </c:ext>
          </c:extLst>
        </c:ser>
        <c:dLbls>
          <c:showLegendKey val="0"/>
          <c:showVal val="0"/>
          <c:showCatName val="0"/>
          <c:showSerName val="0"/>
          <c:showPercent val="0"/>
          <c:showBubbleSize val="0"/>
        </c:dLbls>
        <c:marker val="1"/>
        <c:smooth val="0"/>
        <c:axId val="132280704"/>
        <c:axId val="132282624"/>
      </c:lineChart>
      <c:lineChart>
        <c:grouping val="standard"/>
        <c:varyColors val="0"/>
        <c:ser>
          <c:idx val="2"/>
          <c:order val="1"/>
          <c:tx>
            <c:strRef>
              <c:f>'Calculations - Dual'!$BL$3</c:f>
              <c:strCache>
                <c:ptCount val="1"/>
                <c:pt idx="0">
                  <c:v>Flyback Diode Loss</c:v>
                </c:pt>
              </c:strCache>
            </c:strRef>
          </c:tx>
          <c:spPr>
            <a:ln w="38100">
              <a:solidFill>
                <a:srgbClr val="808000"/>
              </a:solidFill>
              <a:prstDash val="sys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Dual'!$BP$5:$BP$105</c:f>
              <c:numCache>
                <c:formatCode>0.0</c:formatCode>
                <c:ptCount val="101"/>
                <c:pt idx="0">
                  <c:v>5.9999999999999997E-7</c:v>
                </c:pt>
                <c:pt idx="1">
                  <c:v>1.8</c:v>
                </c:pt>
                <c:pt idx="2">
                  <c:v>3.6</c:v>
                </c:pt>
                <c:pt idx="3">
                  <c:v>5.4</c:v>
                </c:pt>
                <c:pt idx="4">
                  <c:v>7.2</c:v>
                </c:pt>
                <c:pt idx="5">
                  <c:v>9.0000000000000018</c:v>
                </c:pt>
                <c:pt idx="6">
                  <c:v>10.8</c:v>
                </c:pt>
                <c:pt idx="7">
                  <c:v>12.600000000000001</c:v>
                </c:pt>
                <c:pt idx="8">
                  <c:v>14.4</c:v>
                </c:pt>
                <c:pt idx="9">
                  <c:v>16.2</c:v>
                </c:pt>
                <c:pt idx="10">
                  <c:v>18.000000000000004</c:v>
                </c:pt>
                <c:pt idx="11">
                  <c:v>19.8</c:v>
                </c:pt>
                <c:pt idx="12">
                  <c:v>21.6</c:v>
                </c:pt>
                <c:pt idx="13">
                  <c:v>23.400000000000002</c:v>
                </c:pt>
                <c:pt idx="14">
                  <c:v>25.200000000000003</c:v>
                </c:pt>
                <c:pt idx="15">
                  <c:v>26.999999999999996</c:v>
                </c:pt>
                <c:pt idx="16">
                  <c:v>28.8</c:v>
                </c:pt>
                <c:pt idx="17">
                  <c:v>30.6</c:v>
                </c:pt>
                <c:pt idx="18">
                  <c:v>32.4</c:v>
                </c:pt>
                <c:pt idx="19">
                  <c:v>34.20000000000001</c:v>
                </c:pt>
                <c:pt idx="20">
                  <c:v>36.000000000000007</c:v>
                </c:pt>
                <c:pt idx="21">
                  <c:v>37.799999999999997</c:v>
                </c:pt>
                <c:pt idx="22">
                  <c:v>39.6</c:v>
                </c:pt>
                <c:pt idx="23">
                  <c:v>41.400000000000006</c:v>
                </c:pt>
                <c:pt idx="24">
                  <c:v>43.2</c:v>
                </c:pt>
                <c:pt idx="25">
                  <c:v>45</c:v>
                </c:pt>
                <c:pt idx="26">
                  <c:v>46.800000000000004</c:v>
                </c:pt>
                <c:pt idx="27">
                  <c:v>48.6</c:v>
                </c:pt>
                <c:pt idx="28">
                  <c:v>50.400000000000006</c:v>
                </c:pt>
                <c:pt idx="29">
                  <c:v>52.199999999999996</c:v>
                </c:pt>
                <c:pt idx="30">
                  <c:v>53.999999999999993</c:v>
                </c:pt>
                <c:pt idx="31">
                  <c:v>55.8</c:v>
                </c:pt>
                <c:pt idx="32">
                  <c:v>57.6</c:v>
                </c:pt>
                <c:pt idx="33">
                  <c:v>59.400000000000006</c:v>
                </c:pt>
                <c:pt idx="34">
                  <c:v>61.2</c:v>
                </c:pt>
                <c:pt idx="35">
                  <c:v>63</c:v>
                </c:pt>
                <c:pt idx="36">
                  <c:v>64.8</c:v>
                </c:pt>
                <c:pt idx="37">
                  <c:v>66.599999999999994</c:v>
                </c:pt>
                <c:pt idx="38">
                  <c:v>68.40000000000002</c:v>
                </c:pt>
                <c:pt idx="39">
                  <c:v>70.200000000000017</c:v>
                </c:pt>
                <c:pt idx="40">
                  <c:v>72.000000000000014</c:v>
                </c:pt>
                <c:pt idx="41">
                  <c:v>73.800000000000011</c:v>
                </c:pt>
                <c:pt idx="42">
                  <c:v>75.599999999999994</c:v>
                </c:pt>
                <c:pt idx="43">
                  <c:v>77.399999999999991</c:v>
                </c:pt>
                <c:pt idx="44">
                  <c:v>79.2</c:v>
                </c:pt>
                <c:pt idx="45">
                  <c:v>81.000000000000014</c:v>
                </c:pt>
                <c:pt idx="46">
                  <c:v>82.800000000000011</c:v>
                </c:pt>
                <c:pt idx="47">
                  <c:v>84.6</c:v>
                </c:pt>
                <c:pt idx="48">
                  <c:v>86.4</c:v>
                </c:pt>
                <c:pt idx="49">
                  <c:v>88.2</c:v>
                </c:pt>
                <c:pt idx="50">
                  <c:v>90</c:v>
                </c:pt>
                <c:pt idx="51">
                  <c:v>91.800000000000011</c:v>
                </c:pt>
                <c:pt idx="52">
                  <c:v>93.600000000000009</c:v>
                </c:pt>
                <c:pt idx="53">
                  <c:v>95.4</c:v>
                </c:pt>
                <c:pt idx="54">
                  <c:v>97.2</c:v>
                </c:pt>
                <c:pt idx="55">
                  <c:v>99</c:v>
                </c:pt>
                <c:pt idx="56">
                  <c:v>100.80000000000001</c:v>
                </c:pt>
                <c:pt idx="57">
                  <c:v>102.59999999999998</c:v>
                </c:pt>
                <c:pt idx="58">
                  <c:v>104.39999999999999</c:v>
                </c:pt>
                <c:pt idx="59">
                  <c:v>106.19999999999999</c:v>
                </c:pt>
                <c:pt idx="60">
                  <c:v>107.99999999999999</c:v>
                </c:pt>
                <c:pt idx="61">
                  <c:v>109.80000000000001</c:v>
                </c:pt>
                <c:pt idx="62">
                  <c:v>111.6</c:v>
                </c:pt>
                <c:pt idx="63">
                  <c:v>113.4</c:v>
                </c:pt>
                <c:pt idx="64">
                  <c:v>115.2</c:v>
                </c:pt>
                <c:pt idx="65">
                  <c:v>117</c:v>
                </c:pt>
                <c:pt idx="66">
                  <c:v>118.80000000000001</c:v>
                </c:pt>
                <c:pt idx="67">
                  <c:v>120.6</c:v>
                </c:pt>
                <c:pt idx="68">
                  <c:v>122.4</c:v>
                </c:pt>
                <c:pt idx="69">
                  <c:v>124.19999999999997</c:v>
                </c:pt>
                <c:pt idx="70">
                  <c:v>126</c:v>
                </c:pt>
                <c:pt idx="71">
                  <c:v>127.79999999999997</c:v>
                </c:pt>
                <c:pt idx="72">
                  <c:v>129.6</c:v>
                </c:pt>
                <c:pt idx="73">
                  <c:v>131.39999999999998</c:v>
                </c:pt>
                <c:pt idx="74">
                  <c:v>133.19999999999999</c:v>
                </c:pt>
                <c:pt idx="75">
                  <c:v>135</c:v>
                </c:pt>
                <c:pt idx="76">
                  <c:v>136.80000000000004</c:v>
                </c:pt>
                <c:pt idx="77">
                  <c:v>138.6</c:v>
                </c:pt>
                <c:pt idx="78">
                  <c:v>140.40000000000003</c:v>
                </c:pt>
                <c:pt idx="79">
                  <c:v>142.20000000000002</c:v>
                </c:pt>
                <c:pt idx="80">
                  <c:v>144.00000000000003</c:v>
                </c:pt>
                <c:pt idx="81">
                  <c:v>145.80000000000004</c:v>
                </c:pt>
                <c:pt idx="82">
                  <c:v>147.60000000000002</c:v>
                </c:pt>
                <c:pt idx="83">
                  <c:v>149.4</c:v>
                </c:pt>
                <c:pt idx="84">
                  <c:v>151.19999999999999</c:v>
                </c:pt>
                <c:pt idx="85">
                  <c:v>153.00000000000003</c:v>
                </c:pt>
                <c:pt idx="86">
                  <c:v>154.79999999999998</c:v>
                </c:pt>
                <c:pt idx="87">
                  <c:v>156.60000000000002</c:v>
                </c:pt>
                <c:pt idx="88">
                  <c:v>158.4</c:v>
                </c:pt>
                <c:pt idx="89">
                  <c:v>160.20000000000002</c:v>
                </c:pt>
                <c:pt idx="90">
                  <c:v>162.00000000000003</c:v>
                </c:pt>
                <c:pt idx="91">
                  <c:v>163.80000000000001</c:v>
                </c:pt>
                <c:pt idx="92">
                  <c:v>165.60000000000002</c:v>
                </c:pt>
                <c:pt idx="93">
                  <c:v>167.40000000000003</c:v>
                </c:pt>
                <c:pt idx="94">
                  <c:v>169.2</c:v>
                </c:pt>
                <c:pt idx="95">
                  <c:v>170.99999999999997</c:v>
                </c:pt>
                <c:pt idx="96">
                  <c:v>172.8</c:v>
                </c:pt>
                <c:pt idx="97">
                  <c:v>174.6</c:v>
                </c:pt>
                <c:pt idx="98">
                  <c:v>176.4</c:v>
                </c:pt>
                <c:pt idx="99">
                  <c:v>178.2</c:v>
                </c:pt>
                <c:pt idx="100">
                  <c:v>180</c:v>
                </c:pt>
              </c:numCache>
            </c:numRef>
          </c:val>
          <c:smooth val="0"/>
          <c:extLst>
            <c:ext xmlns:c16="http://schemas.microsoft.com/office/drawing/2014/chart" uri="{C3380CC4-5D6E-409C-BE32-E72D297353CC}">
              <c16:uniqueId val="{00000001-9272-4546-B6BD-648525E6FC69}"/>
            </c:ext>
          </c:extLst>
        </c:ser>
        <c:ser>
          <c:idx val="3"/>
          <c:order val="2"/>
          <c:tx>
            <c:strRef>
              <c:f>'Calculations - Dual'!$BE$3</c:f>
              <c:strCache>
                <c:ptCount val="1"/>
                <c:pt idx="0">
                  <c:v>IC Loss</c:v>
                </c:pt>
              </c:strCache>
            </c:strRef>
          </c:tx>
          <c:spPr>
            <a:ln w="38100">
              <a:solidFill>
                <a:srgbClr val="800080"/>
              </a:solidFill>
              <a:prstDash val="dash"/>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Dual'!$BK$5:$BK$105</c:f>
              <c:numCache>
                <c:formatCode>0.0</c:formatCode>
                <c:ptCount val="101"/>
                <c:pt idx="0">
                  <c:v>9.4159133352261968</c:v>
                </c:pt>
                <c:pt idx="1">
                  <c:v>10.366980396046998</c:v>
                </c:pt>
                <c:pt idx="2">
                  <c:v>13.774287007203034</c:v>
                </c:pt>
                <c:pt idx="3">
                  <c:v>17.181919880322532</c:v>
                </c:pt>
                <c:pt idx="4">
                  <c:v>20.589879062268874</c:v>
                </c:pt>
                <c:pt idx="5">
                  <c:v>23.998164599914443</c:v>
                </c:pt>
                <c:pt idx="6">
                  <c:v>27.406776540140573</c:v>
                </c:pt>
                <c:pt idx="7">
                  <c:v>30.81571492983759</c:v>
                </c:pt>
                <c:pt idx="8">
                  <c:v>34.22497981590481</c:v>
                </c:pt>
                <c:pt idx="9">
                  <c:v>37.634571245250513</c:v>
                </c:pt>
                <c:pt idx="10">
                  <c:v>41.044489264792013</c:v>
                </c:pt>
                <c:pt idx="11">
                  <c:v>44.454733921455521</c:v>
                </c:pt>
                <c:pt idx="12">
                  <c:v>47.865305262176335</c:v>
                </c:pt>
                <c:pt idx="13">
                  <c:v>51.276203333898678</c:v>
                </c:pt>
                <c:pt idx="14">
                  <c:v>54.687428183575825</c:v>
                </c:pt>
                <c:pt idx="15">
                  <c:v>58.09897985816999</c:v>
                </c:pt>
                <c:pt idx="16">
                  <c:v>61.510858404652438</c:v>
                </c:pt>
                <c:pt idx="17">
                  <c:v>64.923063870003375</c:v>
                </c:pt>
                <c:pt idx="18">
                  <c:v>69.151860408808574</c:v>
                </c:pt>
                <c:pt idx="19">
                  <c:v>73.635508959505401</c:v>
                </c:pt>
                <c:pt idx="20">
                  <c:v>78.213842706001742</c:v>
                </c:pt>
                <c:pt idx="21">
                  <c:v>82.886361666527904</c:v>
                </c:pt>
                <c:pt idx="22">
                  <c:v>87.652667827565523</c:v>
                </c:pt>
                <c:pt idx="23">
                  <c:v>92.512453911498596</c:v>
                </c:pt>
                <c:pt idx="24">
                  <c:v>97.46549396573279</c:v>
                </c:pt>
                <c:pt idx="25">
                  <c:v>102.51163542199603</c:v>
                </c:pt>
                <c:pt idx="26">
                  <c:v>104.66206984788769</c:v>
                </c:pt>
                <c:pt idx="27">
                  <c:v>105.92252618443669</c:v>
                </c:pt>
                <c:pt idx="28">
                  <c:v>107.17474255464639</c:v>
                </c:pt>
                <c:pt idx="29">
                  <c:v>108.41943824790697</c:v>
                </c:pt>
                <c:pt idx="30">
                  <c:v>109.65726718462726</c:v>
                </c:pt>
                <c:pt idx="31">
                  <c:v>110.88882570009388</c:v>
                </c:pt>
                <c:pt idx="32">
                  <c:v>112.11465918941492</c:v>
                </c:pt>
                <c:pt idx="33">
                  <c:v>113.27901521642859</c:v>
                </c:pt>
                <c:pt idx="34">
                  <c:v>111.3210775565834</c:v>
                </c:pt>
                <c:pt idx="35">
                  <c:v>109.47040597937598</c:v>
                </c:pt>
                <c:pt idx="36">
                  <c:v>107.71841787787808</c:v>
                </c:pt>
                <c:pt idx="37">
                  <c:v>106.05743239336144</c:v>
                </c:pt>
                <c:pt idx="38">
                  <c:v>104.48055423906219</c:v>
                </c:pt>
                <c:pt idx="39">
                  <c:v>102.98157510790287</c:v>
                </c:pt>
                <c:pt idx="40">
                  <c:v>101.55488962700379</c:v>
                </c:pt>
                <c:pt idx="41">
                  <c:v>100.19542340807432</c:v>
                </c:pt>
                <c:pt idx="42">
                  <c:v>98.898571204538072</c:v>
                </c:pt>
                <c:pt idx="43">
                  <c:v>97.660143552252165</c:v>
                </c:pt>
                <c:pt idx="44">
                  <c:v>96.476320562511447</c:v>
                </c:pt>
                <c:pt idx="45">
                  <c:v>95.343611770045356</c:v>
                </c:pt>
                <c:pt idx="46">
                  <c:v>94.258821127378525</c:v>
                </c:pt>
                <c:pt idx="47">
                  <c:v>93.219016389809866</c:v>
                </c:pt>
                <c:pt idx="48">
                  <c:v>92.22150225976182</c:v>
                </c:pt>
                <c:pt idx="49">
                  <c:v>91.263796761104501</c:v>
                </c:pt>
                <c:pt idx="50">
                  <c:v>90.343610397762262</c:v>
                </c:pt>
                <c:pt idx="51">
                  <c:v>89.458827719987696</c:v>
                </c:pt>
                <c:pt idx="52">
                  <c:v>114.24144601533156</c:v>
                </c:pt>
                <c:pt idx="53">
                  <c:v>114.70622193259497</c:v>
                </c:pt>
                <c:pt idx="54">
                  <c:v>115.21102732191598</c:v>
                </c:pt>
                <c:pt idx="55">
                  <c:v>115.7548016272313</c:v>
                </c:pt>
                <c:pt idx="56">
                  <c:v>116.33656376113028</c:v>
                </c:pt>
                <c:pt idx="57">
                  <c:v>116.95540521046797</c:v>
                </c:pt>
                <c:pt idx="58">
                  <c:v>117.61048385570538</c:v>
                </c:pt>
                <c:pt idx="59">
                  <c:v>118.30101841930873</c:v>
                </c:pt>
                <c:pt idx="60">
                  <c:v>119.02628346982877</c:v>
                </c:pt>
                <c:pt idx="61">
                  <c:v>119.78560491790488</c:v>
                </c:pt>
                <c:pt idx="62">
                  <c:v>120.57835594866538</c:v>
                </c:pt>
                <c:pt idx="63">
                  <c:v>121.40395334204601</c:v>
                </c:pt>
                <c:pt idx="64">
                  <c:v>122.2618541386103</c:v>
                </c:pt>
                <c:pt idx="65">
                  <c:v>123.1515526136738</c:v>
                </c:pt>
                <c:pt idx="66">
                  <c:v>124.07257752704534</c:v>
                </c:pt>
                <c:pt idx="67">
                  <c:v>125.02448961959939</c:v>
                </c:pt>
                <c:pt idx="68">
                  <c:v>126.00687933128252</c:v>
                </c:pt>
                <c:pt idx="69">
                  <c:v>127.01936471809947</c:v>
                </c:pt>
                <c:pt idx="70">
                  <c:v>128.06158954819276</c:v>
                </c:pt>
                <c:pt idx="71">
                  <c:v>129.13322155936865</c:v>
                </c:pt>
                <c:pt idx="72">
                  <c:v>130.23395086238534</c:v>
                </c:pt>
                <c:pt idx="73">
                  <c:v>131.36348847603574</c:v>
                </c:pt>
                <c:pt idx="74">
                  <c:v>132.52156498156916</c:v>
                </c:pt>
                <c:pt idx="75">
                  <c:v>133.70792928532521</c:v>
                </c:pt>
                <c:pt idx="76">
                  <c:v>134.9223474796228</c:v>
                </c:pt>
                <c:pt idx="77">
                  <c:v>136.16460179298275</c:v>
                </c:pt>
                <c:pt idx="78">
                  <c:v>137.43448962167918</c:v>
                </c:pt>
                <c:pt idx="79">
                  <c:v>138.73182263542191</c:v>
                </c:pt>
                <c:pt idx="80">
                  <c:v>140.05642595069696</c:v>
                </c:pt>
                <c:pt idx="81">
                  <c:v>141.40813736592614</c:v>
                </c:pt>
                <c:pt idx="82">
                  <c:v>142.78680665318231</c:v>
                </c:pt>
                <c:pt idx="83">
                  <c:v>144.19229490169892</c:v>
                </c:pt>
                <c:pt idx="84">
                  <c:v>145.62447390887044</c:v>
                </c:pt>
                <c:pt idx="85">
                  <c:v>147.08322561484249</c:v>
                </c:pt>
                <c:pt idx="86">
                  <c:v>148.56844157715543</c:v>
                </c:pt>
                <c:pt idx="87">
                  <c:v>150.080022482229</c:v>
                </c:pt>
                <c:pt idx="88">
                  <c:v>151.61787769076923</c:v>
                </c:pt>
                <c:pt idx="89">
                  <c:v>153.18192481444049</c:v>
                </c:pt>
                <c:pt idx="90">
                  <c:v>154.77208932138151</c:v>
                </c:pt>
                <c:pt idx="91">
                  <c:v>156.38830416835884</c:v>
                </c:pt>
                <c:pt idx="92">
                  <c:v>158.03050945754103</c:v>
                </c:pt>
                <c:pt idx="93">
                  <c:v>159.69865211605259</c:v>
                </c:pt>
                <c:pt idx="94">
                  <c:v>161.39268559662219</c:v>
                </c:pt>
                <c:pt idx="95">
                  <c:v>163.11256959778228</c:v>
                </c:pt>
                <c:pt idx="96">
                  <c:v>164.85826980220591</c:v>
                </c:pt>
                <c:pt idx="97">
                  <c:v>166.62975763188308</c:v>
                </c:pt>
                <c:pt idx="98">
                  <c:v>168.42701001894596</c:v>
                </c:pt>
                <c:pt idx="99">
                  <c:v>170.25000919104781</c:v>
                </c:pt>
                <c:pt idx="100">
                  <c:v>172.09874247028773</c:v>
                </c:pt>
              </c:numCache>
            </c:numRef>
          </c:val>
          <c:smooth val="0"/>
          <c:extLst>
            <c:ext xmlns:c16="http://schemas.microsoft.com/office/drawing/2014/chart" uri="{C3380CC4-5D6E-409C-BE32-E72D297353CC}">
              <c16:uniqueId val="{00000002-9272-4546-B6BD-648525E6FC69}"/>
            </c:ext>
          </c:extLst>
        </c:ser>
        <c:ser>
          <c:idx val="1"/>
          <c:order val="3"/>
          <c:tx>
            <c:strRef>
              <c:f>'Calculations - Dual'!$BQ$3</c:f>
              <c:strCache>
                <c:ptCount val="1"/>
                <c:pt idx="0">
                  <c:v>Transformer Loss</c:v>
                </c:pt>
              </c:strCache>
            </c:strRef>
          </c:tx>
          <c:spPr>
            <a:ln w="38100">
              <a:solidFill>
                <a:srgbClr val="002060"/>
              </a:solidFill>
              <a:prstDash val="sysDot"/>
            </a:ln>
          </c:spPr>
          <c:marker>
            <c:symbol val="none"/>
          </c:marker>
          <c:cat>
            <c:numLit>
              <c:formatCode>General</c:formatCode>
              <c:ptCount val="201"/>
              <c:pt idx="0">
                <c:v>0</c:v>
              </c:pt>
              <c:pt idx="1">
                <c:v>2.5000000000000001E-2</c:v>
              </c:pt>
              <c:pt idx="2">
                <c:v>0.05</c:v>
              </c:pt>
              <c:pt idx="3">
                <c:v>7.4999999999999997E-2</c:v>
              </c:pt>
              <c:pt idx="4">
                <c:v>0.1</c:v>
              </c:pt>
              <c:pt idx="5">
                <c:v>0.125</c:v>
              </c:pt>
              <c:pt idx="6">
                <c:v>0.15</c:v>
              </c:pt>
              <c:pt idx="7">
                <c:v>0.17500000000000002</c:v>
              </c:pt>
              <c:pt idx="8">
                <c:v>0.2</c:v>
              </c:pt>
              <c:pt idx="9">
                <c:v>0.22499999999999998</c:v>
              </c:pt>
              <c:pt idx="10">
                <c:v>0.25</c:v>
              </c:pt>
              <c:pt idx="11">
                <c:v>0.27500000000000002</c:v>
              </c:pt>
              <c:pt idx="12">
                <c:v>0.3</c:v>
              </c:pt>
              <c:pt idx="13">
                <c:v>0.32500000000000001</c:v>
              </c:pt>
              <c:pt idx="14">
                <c:v>0.35000000000000003</c:v>
              </c:pt>
              <c:pt idx="15">
                <c:v>0.375</c:v>
              </c:pt>
              <c:pt idx="16">
                <c:v>0.4</c:v>
              </c:pt>
              <c:pt idx="17">
                <c:v>0.42500000000000004</c:v>
              </c:pt>
              <c:pt idx="18">
                <c:v>0.44999999999999996</c:v>
              </c:pt>
              <c:pt idx="19">
                <c:v>0.47499999999999998</c:v>
              </c:pt>
              <c:pt idx="20">
                <c:v>0.5</c:v>
              </c:pt>
              <c:pt idx="21">
                <c:v>0.52500000000000002</c:v>
              </c:pt>
              <c:pt idx="22">
                <c:v>0.55000000000000004</c:v>
              </c:pt>
              <c:pt idx="23">
                <c:v>0.57500000000000007</c:v>
              </c:pt>
              <c:pt idx="24">
                <c:v>0.6</c:v>
              </c:pt>
              <c:pt idx="25">
                <c:v>0.625</c:v>
              </c:pt>
              <c:pt idx="26">
                <c:v>0.65</c:v>
              </c:pt>
              <c:pt idx="27">
                <c:v>0.67500000000000004</c:v>
              </c:pt>
              <c:pt idx="28">
                <c:v>0.70000000000000007</c:v>
              </c:pt>
              <c:pt idx="29">
                <c:v>0.72499999999999998</c:v>
              </c:pt>
              <c:pt idx="30">
                <c:v>0.75</c:v>
              </c:pt>
              <c:pt idx="31">
                <c:v>0.77500000000000002</c:v>
              </c:pt>
              <c:pt idx="32">
                <c:v>0.8</c:v>
              </c:pt>
              <c:pt idx="33">
                <c:v>0.82500000000000007</c:v>
              </c:pt>
              <c:pt idx="34">
                <c:v>0.85000000000000009</c:v>
              </c:pt>
              <c:pt idx="35">
                <c:v>0.875</c:v>
              </c:pt>
              <c:pt idx="36">
                <c:v>0.89999999999999991</c:v>
              </c:pt>
              <c:pt idx="37">
                <c:v>0.92500000000000004</c:v>
              </c:pt>
              <c:pt idx="38">
                <c:v>0.95</c:v>
              </c:pt>
              <c:pt idx="39">
                <c:v>0.97500000000000009</c:v>
              </c:pt>
              <c:pt idx="40">
                <c:v>1</c:v>
              </c:pt>
              <c:pt idx="41">
                <c:v>1.0249999999999999</c:v>
              </c:pt>
              <c:pt idx="42">
                <c:v>1.05</c:v>
              </c:pt>
              <c:pt idx="43">
                <c:v>1.075</c:v>
              </c:pt>
              <c:pt idx="44">
                <c:v>1.1000000000000001</c:v>
              </c:pt>
              <c:pt idx="45">
                <c:v>1.125</c:v>
              </c:pt>
              <c:pt idx="46">
                <c:v>1.1500000000000001</c:v>
              </c:pt>
              <c:pt idx="47">
                <c:v>1.1749999999999998</c:v>
              </c:pt>
              <c:pt idx="48">
                <c:v>1.2</c:v>
              </c:pt>
              <c:pt idx="49">
                <c:v>1.2250000000000001</c:v>
              </c:pt>
              <c:pt idx="50">
                <c:v>1.25</c:v>
              </c:pt>
              <c:pt idx="51">
                <c:v>1.2749999999999999</c:v>
              </c:pt>
              <c:pt idx="52">
                <c:v>1.3</c:v>
              </c:pt>
              <c:pt idx="53">
                <c:v>1.3250000000000002</c:v>
              </c:pt>
              <c:pt idx="54">
                <c:v>1.35</c:v>
              </c:pt>
              <c:pt idx="55">
                <c:v>1.375</c:v>
              </c:pt>
              <c:pt idx="56">
                <c:v>1.4000000000000001</c:v>
              </c:pt>
              <c:pt idx="57">
                <c:v>1.4249999999999998</c:v>
              </c:pt>
              <c:pt idx="58">
                <c:v>1.45</c:v>
              </c:pt>
              <c:pt idx="59">
                <c:v>1.4749999999999999</c:v>
              </c:pt>
              <c:pt idx="60">
                <c:v>1.5</c:v>
              </c:pt>
              <c:pt idx="61">
                <c:v>1.5249999999999999</c:v>
              </c:pt>
              <c:pt idx="62">
                <c:v>1.55</c:v>
              </c:pt>
              <c:pt idx="63">
                <c:v>1.575</c:v>
              </c:pt>
              <c:pt idx="64">
                <c:v>1.6</c:v>
              </c:pt>
              <c:pt idx="65">
                <c:v>1.625</c:v>
              </c:pt>
              <c:pt idx="66">
                <c:v>1.6500000000000001</c:v>
              </c:pt>
              <c:pt idx="67">
                <c:v>1.675</c:v>
              </c:pt>
              <c:pt idx="68">
                <c:v>1.7000000000000002</c:v>
              </c:pt>
              <c:pt idx="69">
                <c:v>1.7249999999999999</c:v>
              </c:pt>
              <c:pt idx="70">
                <c:v>1.75</c:v>
              </c:pt>
              <c:pt idx="71">
                <c:v>1.7749999999999999</c:v>
              </c:pt>
              <c:pt idx="72">
                <c:v>1.7999999999999998</c:v>
              </c:pt>
              <c:pt idx="73">
                <c:v>1.825</c:v>
              </c:pt>
              <c:pt idx="74">
                <c:v>1.85</c:v>
              </c:pt>
              <c:pt idx="75">
                <c:v>1.875</c:v>
              </c:pt>
              <c:pt idx="76">
                <c:v>1.9</c:v>
              </c:pt>
              <c:pt idx="77">
                <c:v>1.925</c:v>
              </c:pt>
              <c:pt idx="78">
                <c:v>1.9500000000000002</c:v>
              </c:pt>
              <c:pt idx="79">
                <c:v>1.9750000000000001</c:v>
              </c:pt>
              <c:pt idx="80">
                <c:v>2</c:v>
              </c:pt>
              <c:pt idx="81">
                <c:v>2.0250000000000004</c:v>
              </c:pt>
              <c:pt idx="82">
                <c:v>2.0499999999999998</c:v>
              </c:pt>
              <c:pt idx="83">
                <c:v>2.0749999999999997</c:v>
              </c:pt>
              <c:pt idx="84">
                <c:v>2.1</c:v>
              </c:pt>
              <c:pt idx="85">
                <c:v>2.125</c:v>
              </c:pt>
              <c:pt idx="86">
                <c:v>2.15</c:v>
              </c:pt>
              <c:pt idx="87">
                <c:v>2.1749999999999998</c:v>
              </c:pt>
              <c:pt idx="88">
                <c:v>2.2000000000000002</c:v>
              </c:pt>
              <c:pt idx="89">
                <c:v>2.2250000000000001</c:v>
              </c:pt>
              <c:pt idx="90">
                <c:v>2.25</c:v>
              </c:pt>
              <c:pt idx="91">
                <c:v>2.2749999999999999</c:v>
              </c:pt>
              <c:pt idx="92">
                <c:v>2.3000000000000003</c:v>
              </c:pt>
              <c:pt idx="93">
                <c:v>2.3250000000000002</c:v>
              </c:pt>
              <c:pt idx="94">
                <c:v>2.3499999999999996</c:v>
              </c:pt>
              <c:pt idx="95">
                <c:v>2.375</c:v>
              </c:pt>
              <c:pt idx="96">
                <c:v>2.4</c:v>
              </c:pt>
              <c:pt idx="97">
                <c:v>2.4249999999999998</c:v>
              </c:pt>
              <c:pt idx="98">
                <c:v>2.4500000000000002</c:v>
              </c:pt>
              <c:pt idx="99">
                <c:v>2.4750000000000001</c:v>
              </c:pt>
              <c:pt idx="100">
                <c:v>2.5</c:v>
              </c:pt>
              <c:pt idx="101">
                <c:v>2.5249999999999999</c:v>
              </c:pt>
              <c:pt idx="102">
                <c:v>2.5499999999999998</c:v>
              </c:pt>
              <c:pt idx="103">
                <c:v>2.5750000000000002</c:v>
              </c:pt>
              <c:pt idx="104">
                <c:v>2.6</c:v>
              </c:pt>
              <c:pt idx="105">
                <c:v>2.625</c:v>
              </c:pt>
              <c:pt idx="106">
                <c:v>2.6500000000000004</c:v>
              </c:pt>
              <c:pt idx="107">
                <c:v>2.6750000000000003</c:v>
              </c:pt>
              <c:pt idx="108">
                <c:v>2.7</c:v>
              </c:pt>
              <c:pt idx="109">
                <c:v>2.7250000000000001</c:v>
              </c:pt>
              <c:pt idx="110">
                <c:v>2.75</c:v>
              </c:pt>
              <c:pt idx="111">
                <c:v>2.7750000000000004</c:v>
              </c:pt>
              <c:pt idx="112">
                <c:v>2.8000000000000003</c:v>
              </c:pt>
              <c:pt idx="113">
                <c:v>2.8249999999999997</c:v>
              </c:pt>
              <c:pt idx="114">
                <c:v>2.8499999999999996</c:v>
              </c:pt>
              <c:pt idx="115">
                <c:v>2.875</c:v>
              </c:pt>
              <c:pt idx="116">
                <c:v>2.9</c:v>
              </c:pt>
              <c:pt idx="117">
                <c:v>2.9249999999999998</c:v>
              </c:pt>
              <c:pt idx="118">
                <c:v>2.9499999999999997</c:v>
              </c:pt>
              <c:pt idx="119">
                <c:v>2.9749999999999996</c:v>
              </c:pt>
              <c:pt idx="120">
                <c:v>3</c:v>
              </c:pt>
              <c:pt idx="121">
                <c:v>3.0249999999999999</c:v>
              </c:pt>
              <c:pt idx="122">
                <c:v>3.05</c:v>
              </c:pt>
              <c:pt idx="123">
                <c:v>3.0750000000000002</c:v>
              </c:pt>
              <c:pt idx="124">
                <c:v>3.1</c:v>
              </c:pt>
              <c:pt idx="125">
                <c:v>3.125</c:v>
              </c:pt>
              <c:pt idx="126">
                <c:v>3.15</c:v>
              </c:pt>
              <c:pt idx="127">
                <c:v>3.1749999999999998</c:v>
              </c:pt>
              <c:pt idx="128">
                <c:v>3.2</c:v>
              </c:pt>
              <c:pt idx="129">
                <c:v>3.2250000000000001</c:v>
              </c:pt>
              <c:pt idx="130">
                <c:v>3.25</c:v>
              </c:pt>
              <c:pt idx="131">
                <c:v>3.2750000000000004</c:v>
              </c:pt>
              <c:pt idx="132">
                <c:v>3.3000000000000003</c:v>
              </c:pt>
              <c:pt idx="133">
                <c:v>3.3250000000000002</c:v>
              </c:pt>
              <c:pt idx="134">
                <c:v>3.35</c:v>
              </c:pt>
              <c:pt idx="135">
                <c:v>3.375</c:v>
              </c:pt>
              <c:pt idx="136">
                <c:v>3.4000000000000004</c:v>
              </c:pt>
              <c:pt idx="137">
                <c:v>3.4250000000000003</c:v>
              </c:pt>
              <c:pt idx="138">
                <c:v>3.4499999999999997</c:v>
              </c:pt>
              <c:pt idx="139">
                <c:v>3.4749999999999996</c:v>
              </c:pt>
              <c:pt idx="140">
                <c:v>3.5</c:v>
              </c:pt>
              <c:pt idx="141">
                <c:v>3.5249999999999999</c:v>
              </c:pt>
              <c:pt idx="142">
                <c:v>3.55</c:v>
              </c:pt>
              <c:pt idx="143">
                <c:v>3.5749999999999997</c:v>
              </c:pt>
              <c:pt idx="144">
                <c:v>3.5999999999999996</c:v>
              </c:pt>
              <c:pt idx="145">
                <c:v>3.625</c:v>
              </c:pt>
              <c:pt idx="146">
                <c:v>3.65</c:v>
              </c:pt>
              <c:pt idx="147">
                <c:v>3.6749999999999998</c:v>
              </c:pt>
              <c:pt idx="148">
                <c:v>3.7</c:v>
              </c:pt>
              <c:pt idx="149">
                <c:v>3.7250000000000001</c:v>
              </c:pt>
              <c:pt idx="150">
                <c:v>3.75</c:v>
              </c:pt>
              <c:pt idx="151">
                <c:v>3.7749999999999999</c:v>
              </c:pt>
              <c:pt idx="152">
                <c:v>3.8</c:v>
              </c:pt>
              <c:pt idx="153">
                <c:v>3.8250000000000002</c:v>
              </c:pt>
              <c:pt idx="154">
                <c:v>3.85</c:v>
              </c:pt>
              <c:pt idx="155">
                <c:v>3.875</c:v>
              </c:pt>
              <c:pt idx="156">
                <c:v>3.9000000000000004</c:v>
              </c:pt>
              <c:pt idx="157">
                <c:v>3.9250000000000003</c:v>
              </c:pt>
              <c:pt idx="158">
                <c:v>3.95</c:v>
              </c:pt>
              <c:pt idx="159">
                <c:v>3.9750000000000001</c:v>
              </c:pt>
              <c:pt idx="160">
                <c:v>4</c:v>
              </c:pt>
              <c:pt idx="161">
                <c:v>4.0250000000000004</c:v>
              </c:pt>
              <c:pt idx="162">
                <c:v>4.0500000000000007</c:v>
              </c:pt>
              <c:pt idx="163">
                <c:v>4.0749999999999993</c:v>
              </c:pt>
              <c:pt idx="164">
                <c:v>4.0999999999999996</c:v>
              </c:pt>
              <c:pt idx="165">
                <c:v>4.125</c:v>
              </c:pt>
              <c:pt idx="166">
                <c:v>4.1499999999999995</c:v>
              </c:pt>
              <c:pt idx="167">
                <c:v>4.1749999999999998</c:v>
              </c:pt>
              <c:pt idx="168">
                <c:v>4.2</c:v>
              </c:pt>
              <c:pt idx="169">
                <c:v>4.2249999999999996</c:v>
              </c:pt>
              <c:pt idx="170">
                <c:v>4.25</c:v>
              </c:pt>
              <c:pt idx="171">
                <c:v>4.2750000000000004</c:v>
              </c:pt>
              <c:pt idx="172">
                <c:v>4.3</c:v>
              </c:pt>
              <c:pt idx="173">
                <c:v>4.3250000000000002</c:v>
              </c:pt>
              <c:pt idx="174">
                <c:v>4.3499999999999996</c:v>
              </c:pt>
              <c:pt idx="175">
                <c:v>4.375</c:v>
              </c:pt>
              <c:pt idx="176">
                <c:v>4.4000000000000004</c:v>
              </c:pt>
              <c:pt idx="177">
                <c:v>4.4249999999999998</c:v>
              </c:pt>
              <c:pt idx="178">
                <c:v>4.45</c:v>
              </c:pt>
              <c:pt idx="179">
                <c:v>4.4749999999999996</c:v>
              </c:pt>
              <c:pt idx="180">
                <c:v>4.5</c:v>
              </c:pt>
              <c:pt idx="181">
                <c:v>4.5250000000000004</c:v>
              </c:pt>
              <c:pt idx="182">
                <c:v>4.55</c:v>
              </c:pt>
              <c:pt idx="183">
                <c:v>4.5750000000000002</c:v>
              </c:pt>
              <c:pt idx="184">
                <c:v>4.6000000000000005</c:v>
              </c:pt>
              <c:pt idx="185">
                <c:v>4.625</c:v>
              </c:pt>
              <c:pt idx="186">
                <c:v>4.6500000000000004</c:v>
              </c:pt>
              <c:pt idx="187">
                <c:v>4.6750000000000007</c:v>
              </c:pt>
              <c:pt idx="188">
                <c:v>4.6999999999999993</c:v>
              </c:pt>
              <c:pt idx="189">
                <c:v>4.7249999999999996</c:v>
              </c:pt>
              <c:pt idx="190">
                <c:v>4.75</c:v>
              </c:pt>
              <c:pt idx="191">
                <c:v>4.7749999999999995</c:v>
              </c:pt>
              <c:pt idx="192">
                <c:v>4.8</c:v>
              </c:pt>
              <c:pt idx="193">
                <c:v>4.8250000000000002</c:v>
              </c:pt>
              <c:pt idx="194">
                <c:v>4.8499999999999996</c:v>
              </c:pt>
              <c:pt idx="195">
                <c:v>4.875</c:v>
              </c:pt>
              <c:pt idx="196">
                <c:v>4.9000000000000004</c:v>
              </c:pt>
              <c:pt idx="197">
                <c:v>4.9249999999999998</c:v>
              </c:pt>
              <c:pt idx="198">
                <c:v>4.95</c:v>
              </c:pt>
              <c:pt idx="199">
                <c:v>4.9749999999999996</c:v>
              </c:pt>
              <c:pt idx="200">
                <c:v>5</c:v>
              </c:pt>
            </c:numLit>
          </c:cat>
          <c:val>
            <c:numRef>
              <c:f>'Calculations - Dual'!$BW$5:$BW$105</c:f>
              <c:numCache>
                <c:formatCode>0.0</c:formatCode>
                <c:ptCount val="101"/>
                <c:pt idx="0">
                  <c:v>12.994521819981227</c:v>
                </c:pt>
                <c:pt idx="1">
                  <c:v>13.02840531985702</c:v>
                </c:pt>
                <c:pt idx="2">
                  <c:v>13.15410507985448</c:v>
                </c:pt>
                <c:pt idx="3">
                  <c:v>13.288377920912209</c:v>
                </c:pt>
                <c:pt idx="4">
                  <c:v>13.433181606598581</c:v>
                </c:pt>
                <c:pt idx="5">
                  <c:v>13.590157041781822</c:v>
                </c:pt>
                <c:pt idx="6">
                  <c:v>13.760746617709902</c:v>
                </c:pt>
                <c:pt idx="7">
                  <c:v>13.946252851590927</c:v>
                </c:pt>
                <c:pt idx="8">
                  <c:v>14.147872707370826</c:v>
                </c:pt>
                <c:pt idx="9">
                  <c:v>14.366719781263333</c:v>
                </c:pt>
                <c:pt idx="10">
                  <c:v>14.603839638817391</c:v>
                </c:pt>
                <c:pt idx="11">
                  <c:v>14.86022094735671</c:v>
                </c:pt>
                <c:pt idx="12">
                  <c:v>15.136803862304575</c:v>
                </c:pt>
                <c:pt idx="13">
                  <c:v>15.434486532663575</c:v>
                </c:pt>
                <c:pt idx="14">
                  <c:v>15.754130268692188</c:v>
                </c:pt>
                <c:pt idx="15">
                  <c:v>16.096563728278081</c:v>
                </c:pt>
                <c:pt idx="16">
                  <c:v>16.462586364838547</c:v>
                </c:pt>
                <c:pt idx="17">
                  <c:v>16.852971307327682</c:v>
                </c:pt>
                <c:pt idx="18">
                  <c:v>18.066065362853266</c:v>
                </c:pt>
                <c:pt idx="19">
                  <c:v>19.512982636946724</c:v>
                </c:pt>
                <c:pt idx="20">
                  <c:v>21.04026187277135</c:v>
                </c:pt>
                <c:pt idx="21">
                  <c:v>22.654820991621083</c:v>
                </c:pt>
                <c:pt idx="22">
                  <c:v>24.363896230265233</c:v>
                </c:pt>
                <c:pt idx="23">
                  <c:v>26.1750368278853</c:v>
                </c:pt>
                <c:pt idx="24">
                  <c:v>28.096100069043658</c:v>
                </c:pt>
                <c:pt idx="25">
                  <c:v>30.135246636196829</c:v>
                </c:pt>
                <c:pt idx="26">
                  <c:v>31.521058547227867</c:v>
                </c:pt>
                <c:pt idx="27">
                  <c:v>32.685822087439767</c:v>
                </c:pt>
                <c:pt idx="28">
                  <c:v>33.84715591277967</c:v>
                </c:pt>
                <c:pt idx="29">
                  <c:v>35.005086118885977</c:v>
                </c:pt>
                <c:pt idx="30">
                  <c:v>36.159638290229331</c:v>
                </c:pt>
                <c:pt idx="31">
                  <c:v>37.310837493093722</c:v>
                </c:pt>
                <c:pt idx="32">
                  <c:v>38.458708273800447</c:v>
                </c:pt>
                <c:pt idx="33">
                  <c:v>39.586199459548546</c:v>
                </c:pt>
                <c:pt idx="34">
                  <c:v>39.763588442772594</c:v>
                </c:pt>
                <c:pt idx="35">
                  <c:v>39.970679783975363</c:v>
                </c:pt>
                <c:pt idx="36">
                  <c:v>40.204908439477038</c:v>
                </c:pt>
                <c:pt idx="37">
                  <c:v>40.463998895981206</c:v>
                </c:pt>
                <c:pt idx="38">
                  <c:v>40.745925576168624</c:v>
                </c:pt>
                <c:pt idx="39">
                  <c:v>41.048879544036403</c:v>
                </c:pt>
                <c:pt idx="40">
                  <c:v>41.37124037462852</c:v>
                </c:pt>
                <c:pt idx="41">
                  <c:v>41.711552280158756</c:v>
                </c:pt>
                <c:pt idx="42">
                  <c:v>42.068503762025692</c:v>
                </c:pt>
                <c:pt idx="43">
                  <c:v>42.440910197695921</c:v>
                </c:pt>
                <c:pt idx="44">
                  <c:v>42.82769888171277</c:v>
                </c:pt>
                <c:pt idx="45">
                  <c:v>43.22789612779426</c:v>
                </c:pt>
                <c:pt idx="46">
                  <c:v>43.640616109130342</c:v>
                </c:pt>
                <c:pt idx="47">
                  <c:v>44.065051170387321</c:v>
                </c:pt>
                <c:pt idx="48">
                  <c:v>44.500463390504088</c:v>
                </c:pt>
                <c:pt idx="49">
                  <c:v>44.946177212373691</c:v>
                </c:pt>
                <c:pt idx="50">
                  <c:v>45.401572985695736</c:v>
                </c:pt>
                <c:pt idx="51">
                  <c:v>45.86608129402439</c:v>
                </c:pt>
                <c:pt idx="52">
                  <c:v>72.618731546024222</c:v>
                </c:pt>
                <c:pt idx="53">
                  <c:v>74.543799046826564</c:v>
                </c:pt>
                <c:pt idx="54">
                  <c:v>76.498179187207896</c:v>
                </c:pt>
                <c:pt idx="55">
                  <c:v>78.481893526082402</c:v>
                </c:pt>
                <c:pt idx="56">
                  <c:v>80.49496403899181</c:v>
                </c:pt>
                <c:pt idx="57">
                  <c:v>82.537413118873999</c:v>
                </c:pt>
                <c:pt idx="58">
                  <c:v>84.609263576846942</c:v>
                </c:pt>
                <c:pt idx="59">
                  <c:v>86.710538643007197</c:v>
                </c:pt>
                <c:pt idx="60">
                  <c:v>88.841261967244151</c:v>
                </c:pt>
                <c:pt idx="61">
                  <c:v>91.001457620068948</c:v>
                </c:pt>
                <c:pt idx="62">
                  <c:v>93.191150093458887</c:v>
                </c:pt>
                <c:pt idx="63">
                  <c:v>95.410364301717138</c:v>
                </c:pt>
                <c:pt idx="64">
                  <c:v>97.659125582347741</c:v>
                </c:pt>
                <c:pt idx="65">
                  <c:v>99.937459696945808</c:v>
                </c:pt>
                <c:pt idx="66">
                  <c:v>102.2453928321038</c:v>
                </c:pt>
                <c:pt idx="67">
                  <c:v>104.58295160033263</c:v>
                </c:pt>
                <c:pt idx="68">
                  <c:v>106.95016304099877</c:v>
                </c:pt>
                <c:pt idx="69">
                  <c:v>109.3470546212767</c:v>
                </c:pt>
                <c:pt idx="70">
                  <c:v>111.77365423711791</c:v>
                </c:pt>
                <c:pt idx="71">
                  <c:v>114.22999021423412</c:v>
                </c:pt>
                <c:pt idx="72">
                  <c:v>116.71609130909792</c:v>
                </c:pt>
                <c:pt idx="73">
                  <c:v>119.23198670995856</c:v>
                </c:pt>
                <c:pt idx="74">
                  <c:v>121.7777060378736</c:v>
                </c:pt>
                <c:pt idx="75">
                  <c:v>124.35327934775707</c:v>
                </c:pt>
                <c:pt idx="76">
                  <c:v>126.95873712944342</c:v>
                </c:pt>
                <c:pt idx="77">
                  <c:v>129.59411030876748</c:v>
                </c:pt>
                <c:pt idx="78">
                  <c:v>132.25943024866154</c:v>
                </c:pt>
                <c:pt idx="79">
                  <c:v>134.95472875026746</c:v>
                </c:pt>
                <c:pt idx="80">
                  <c:v>137.68003805406664</c:v>
                </c:pt>
                <c:pt idx="81">
                  <c:v>140.43539084102474</c:v>
                </c:pt>
                <c:pt idx="82">
                  <c:v>143.22082023375498</c:v>
                </c:pt>
                <c:pt idx="83">
                  <c:v>146.03635979769638</c:v>
                </c:pt>
                <c:pt idx="84">
                  <c:v>148.88204354230942</c:v>
                </c:pt>
                <c:pt idx="85">
                  <c:v>151.75790592228873</c:v>
                </c:pt>
                <c:pt idx="86">
                  <c:v>154.66398183879187</c:v>
                </c:pt>
                <c:pt idx="87">
                  <c:v>157.60030664068637</c:v>
                </c:pt>
                <c:pt idx="88">
                  <c:v>160.56691612581207</c:v>
                </c:pt>
                <c:pt idx="89">
                  <c:v>163.56384654226233</c:v>
                </c:pt>
                <c:pt idx="90">
                  <c:v>166.59113458968091</c:v>
                </c:pt>
                <c:pt idx="91">
                  <c:v>169.64881742057764</c:v>
                </c:pt>
                <c:pt idx="92">
                  <c:v>172.73693264166025</c:v>
                </c:pt>
                <c:pt idx="93">
                  <c:v>175.85551831518421</c:v>
                </c:pt>
                <c:pt idx="94">
                  <c:v>179.00461296032043</c:v>
                </c:pt>
                <c:pt idx="95">
                  <c:v>182.18425555453982</c:v>
                </c:pt>
                <c:pt idx="96">
                  <c:v>185.39448553501654</c:v>
                </c:pt>
                <c:pt idx="97">
                  <c:v>188.63534280004825</c:v>
                </c:pt>
                <c:pt idx="98">
                  <c:v>191.90686771049499</c:v>
                </c:pt>
                <c:pt idx="99">
                  <c:v>195.20910109123588</c:v>
                </c:pt>
                <c:pt idx="100">
                  <c:v>198.54208423264359</c:v>
                </c:pt>
              </c:numCache>
            </c:numRef>
          </c:val>
          <c:smooth val="0"/>
          <c:extLst>
            <c:ext xmlns:c16="http://schemas.microsoft.com/office/drawing/2014/chart" uri="{C3380CC4-5D6E-409C-BE32-E72D297353CC}">
              <c16:uniqueId val="{00000003-9272-4546-B6BD-648525E6FC69}"/>
            </c:ext>
          </c:extLst>
        </c:ser>
        <c:dLbls>
          <c:showLegendKey val="0"/>
          <c:showVal val="0"/>
          <c:showCatName val="0"/>
          <c:showSerName val="0"/>
          <c:showPercent val="0"/>
          <c:showBubbleSize val="0"/>
        </c:dLbls>
        <c:marker val="1"/>
        <c:smooth val="0"/>
        <c:axId val="132290816"/>
        <c:axId val="132288896"/>
      </c:lineChart>
      <c:catAx>
        <c:axId val="132280704"/>
        <c:scaling>
          <c:orientation val="minMax"/>
        </c:scaling>
        <c:delete val="0"/>
        <c:axPos val="b"/>
        <c:majorGridlines>
          <c:spPr>
            <a:ln w="15875">
              <a:solidFill>
                <a:srgbClr val="969696"/>
              </a:solidFill>
              <a:prstDash val="sysDash"/>
            </a:ln>
          </c:spPr>
        </c:majorGridlines>
        <c:minorGridlines/>
        <c:title>
          <c:tx>
            <c:rich>
              <a:bodyPr/>
              <a:lstStyle/>
              <a:p>
                <a:pPr>
                  <a:defRPr sz="1200" b="1" i="0" u="none" strike="noStrike" baseline="0">
                    <a:solidFill>
                      <a:srgbClr val="0000FF"/>
                    </a:solidFill>
                    <a:latin typeface="Arial" pitchFamily="34" charset="0"/>
                    <a:ea typeface="Calibri"/>
                    <a:cs typeface="Arial" pitchFamily="34" charset="0"/>
                  </a:defRPr>
                </a:pPr>
                <a:r>
                  <a:rPr lang="en-US" sz="1200">
                    <a:solidFill>
                      <a:srgbClr val="0000FF"/>
                    </a:solidFill>
                    <a:latin typeface="Arial" pitchFamily="34" charset="0"/>
                    <a:cs typeface="Arial" pitchFamily="34" charset="0"/>
                  </a:rPr>
                  <a:t>%</a:t>
                </a:r>
                <a:r>
                  <a:rPr lang="en-US" sz="1200" baseline="0">
                    <a:solidFill>
                      <a:srgbClr val="0000FF"/>
                    </a:solidFill>
                    <a:latin typeface="Arial" pitchFamily="34" charset="0"/>
                    <a:cs typeface="Arial" pitchFamily="34" charset="0"/>
                  </a:rPr>
                  <a:t> Total Rated Output Power</a:t>
                </a:r>
                <a:endParaRPr lang="en-US" sz="1200">
                  <a:solidFill>
                    <a:srgbClr val="0000FF"/>
                  </a:solidFill>
                  <a:latin typeface="Arial" pitchFamily="34" charset="0"/>
                  <a:cs typeface="Arial" pitchFamily="34" charset="0"/>
                </a:endParaRPr>
              </a:p>
            </c:rich>
          </c:tx>
          <c:layout>
            <c:manualLayout>
              <c:xMode val="edge"/>
              <c:yMode val="edge"/>
              <c:x val="0.42471011396394504"/>
              <c:y val="0.93853771636955563"/>
            </c:manualLayout>
          </c:layout>
          <c:overlay val="0"/>
          <c:spPr>
            <a:noFill/>
            <a:ln w="25400">
              <a:noFill/>
            </a:ln>
          </c:spPr>
        </c:title>
        <c:numFmt formatCode="General" sourceLinked="1"/>
        <c:majorTickMark val="in"/>
        <c:minorTickMark val="in"/>
        <c:tickLblPos val="nextTo"/>
        <c:spPr>
          <a:ln w="3175">
            <a:solidFill>
              <a:srgbClr val="000000"/>
            </a:solidFill>
            <a:prstDash val="solid"/>
          </a:ln>
        </c:spPr>
        <c:txPr>
          <a:bodyPr rot="0" vert="horz"/>
          <a:lstStyle/>
          <a:p>
            <a:pPr>
              <a:defRPr sz="1100" b="1" i="0" u="none" strike="noStrike" baseline="0">
                <a:solidFill>
                  <a:srgbClr val="0000FF"/>
                </a:solidFill>
                <a:latin typeface="Arial" pitchFamily="34" charset="0"/>
                <a:ea typeface="Calibri"/>
                <a:cs typeface="Arial" pitchFamily="34" charset="0"/>
              </a:defRPr>
            </a:pPr>
            <a:endParaRPr lang="ja-JP"/>
          </a:p>
        </c:txPr>
        <c:crossAx val="132282624"/>
        <c:crosses val="autoZero"/>
        <c:auto val="1"/>
        <c:lblAlgn val="ctr"/>
        <c:lblOffset val="100"/>
        <c:tickLblSkip val="20"/>
        <c:tickMarkSkip val="20"/>
        <c:noMultiLvlLbl val="0"/>
      </c:catAx>
      <c:valAx>
        <c:axId val="132282624"/>
        <c:scaling>
          <c:orientation val="minMax"/>
          <c:max val="100"/>
          <c:min val="55"/>
        </c:scaling>
        <c:delete val="0"/>
        <c:axPos val="l"/>
        <c:majorGridlines>
          <c:spPr>
            <a:ln w="15875">
              <a:solidFill>
                <a:srgbClr val="808080"/>
              </a:solidFill>
              <a:prstDash val="solid"/>
            </a:ln>
          </c:spPr>
        </c:majorGridlines>
        <c:title>
          <c:tx>
            <c:rich>
              <a:bodyPr/>
              <a:lstStyle/>
              <a:p>
                <a:pPr>
                  <a:defRPr sz="1400" b="1" i="0" u="none" strike="noStrike" baseline="0">
                    <a:solidFill>
                      <a:srgbClr val="FF0000"/>
                    </a:solidFill>
                    <a:latin typeface="Arial" pitchFamily="34" charset="0"/>
                    <a:ea typeface="Calibri"/>
                    <a:cs typeface="Arial" pitchFamily="34" charset="0"/>
                  </a:defRPr>
                </a:pPr>
                <a:r>
                  <a:rPr lang="en-US" sz="1200" b="1">
                    <a:solidFill>
                      <a:srgbClr val="FF0000"/>
                    </a:solidFill>
                    <a:latin typeface="Arial" pitchFamily="34" charset="0"/>
                    <a:cs typeface="Arial" pitchFamily="34" charset="0"/>
                  </a:rPr>
                  <a:t>Efficiency  (%)</a:t>
                </a:r>
              </a:p>
            </c:rich>
          </c:tx>
          <c:layout>
            <c:manualLayout>
              <c:xMode val="edge"/>
              <c:yMode val="edge"/>
              <c:x val="1.2871858674081443E-2"/>
              <c:y val="0.37638177915688309"/>
            </c:manualLayout>
          </c:layout>
          <c:overlay val="0"/>
          <c:spPr>
            <a:noFill/>
            <a:ln w="25400">
              <a:noFill/>
            </a:ln>
          </c:spPr>
        </c:title>
        <c:numFmt formatCode="General" sourceLinked="0"/>
        <c:majorTickMark val="in"/>
        <c:minorTickMark val="in"/>
        <c:tickLblPos val="nextTo"/>
        <c:spPr>
          <a:ln w="3175">
            <a:solidFill>
              <a:srgbClr val="000000"/>
            </a:solidFill>
            <a:prstDash val="solid"/>
          </a:ln>
        </c:spPr>
        <c:txPr>
          <a:bodyPr rot="0" vert="horz"/>
          <a:lstStyle/>
          <a:p>
            <a:pPr>
              <a:defRPr sz="1100" b="1" i="0" u="none" strike="noStrike" baseline="0">
                <a:solidFill>
                  <a:srgbClr val="FF0000"/>
                </a:solidFill>
                <a:latin typeface="Arial" pitchFamily="34" charset="0"/>
                <a:ea typeface="Calibri"/>
                <a:cs typeface="Arial" pitchFamily="34" charset="0"/>
              </a:defRPr>
            </a:pPr>
            <a:endParaRPr lang="ja-JP"/>
          </a:p>
        </c:txPr>
        <c:crossAx val="132280704"/>
        <c:crossesAt val="0"/>
        <c:crossBetween val="between"/>
        <c:majorUnit val="5"/>
        <c:minorUnit val="2.5"/>
      </c:valAx>
      <c:valAx>
        <c:axId val="132288896"/>
        <c:scaling>
          <c:orientation val="minMax"/>
        </c:scaling>
        <c:delete val="0"/>
        <c:axPos val="r"/>
        <c:title>
          <c:tx>
            <c:rich>
              <a:bodyPr rot="-5400000" vert="horz"/>
              <a:lstStyle/>
              <a:p>
                <a:pPr>
                  <a:defRPr sz="1200" b="1"/>
                </a:pPr>
                <a:r>
                  <a:rPr lang="en-US" sz="1200" b="1"/>
                  <a:t>Power Loss (mW)</a:t>
                </a:r>
              </a:p>
            </c:rich>
          </c:tx>
          <c:layout>
            <c:manualLayout>
              <c:xMode val="edge"/>
              <c:yMode val="edge"/>
              <c:x val="0.95168474305601269"/>
              <c:y val="0.38117714045368295"/>
            </c:manualLayout>
          </c:layout>
          <c:overlay val="0"/>
        </c:title>
        <c:numFmt formatCode="General" sourceLinked="0"/>
        <c:majorTickMark val="out"/>
        <c:minorTickMark val="none"/>
        <c:tickLblPos val="nextTo"/>
        <c:txPr>
          <a:bodyPr/>
          <a:lstStyle/>
          <a:p>
            <a:pPr>
              <a:defRPr sz="1100" b="1">
                <a:solidFill>
                  <a:sysClr val="windowText" lastClr="000000"/>
                </a:solidFill>
              </a:defRPr>
            </a:pPr>
            <a:endParaRPr lang="ja-JP"/>
          </a:p>
        </c:txPr>
        <c:crossAx val="132290816"/>
        <c:crosses val="max"/>
        <c:crossBetween val="between"/>
      </c:valAx>
      <c:catAx>
        <c:axId val="132290816"/>
        <c:scaling>
          <c:orientation val="minMax"/>
        </c:scaling>
        <c:delete val="1"/>
        <c:axPos val="b"/>
        <c:numFmt formatCode="General" sourceLinked="1"/>
        <c:majorTickMark val="out"/>
        <c:minorTickMark val="none"/>
        <c:tickLblPos val="nextTo"/>
        <c:crossAx val="132288896"/>
        <c:crosses val="autoZero"/>
        <c:auto val="1"/>
        <c:lblAlgn val="ctr"/>
        <c:lblOffset val="100"/>
        <c:noMultiLvlLbl val="0"/>
      </c:catAx>
      <c:spPr>
        <a:noFill/>
        <a:ln w="25400">
          <a:noFill/>
        </a:ln>
      </c:spPr>
    </c:plotArea>
    <c:legend>
      <c:legendPos val="t"/>
      <c:layout>
        <c:manualLayout>
          <c:xMode val="edge"/>
          <c:yMode val="edge"/>
          <c:x val="0.40102557566231317"/>
          <c:y val="1.1892633038167682E-2"/>
          <c:w val="0.50550962619267337"/>
          <c:h val="8.9795049320617604E-2"/>
        </c:manualLayout>
      </c:layout>
      <c:overlay val="0"/>
      <c:spPr>
        <a:solidFill>
          <a:srgbClr val="FFFFFF"/>
        </a:solidFill>
        <a:ln w="25400">
          <a:noFill/>
        </a:ln>
      </c:spPr>
      <c:txPr>
        <a:bodyPr/>
        <a:lstStyle/>
        <a:p>
          <a:pPr>
            <a:defRPr sz="1100" b="0" i="0" u="none" strike="noStrike" baseline="0">
              <a:solidFill>
                <a:srgbClr val="000000"/>
              </a:solidFill>
              <a:latin typeface="Arial" pitchFamily="34" charset="0"/>
              <a:ea typeface="Calibri"/>
              <a:cs typeface="Arial" pitchFamily="34" charset="0"/>
            </a:defRPr>
          </a:pPr>
          <a:endParaRPr lang="ja-JP"/>
        </a:p>
      </c:txPr>
    </c:legend>
    <c:plotVisOnly val="1"/>
    <c:dispBlanksAs val="gap"/>
    <c:showDLblsOverMax val="0"/>
  </c:chart>
  <c:spPr>
    <a:solidFill>
      <a:srgbClr val="FFFFFF"/>
    </a:solidFill>
    <a:ln w="9525">
      <a:solidFill>
        <a:srgbClr val="808080"/>
      </a:solidFill>
    </a:ln>
  </c:spPr>
  <c:txPr>
    <a:bodyPr/>
    <a:lstStyle/>
    <a:p>
      <a:pPr>
        <a:defRPr sz="850" b="0" i="0" u="none" strike="noStrike" baseline="0">
          <a:solidFill>
            <a:srgbClr val="000000"/>
          </a:solidFill>
          <a:latin typeface="Arial"/>
          <a:ea typeface="Arial"/>
          <a:cs typeface="Arial"/>
        </a:defRPr>
      </a:pPr>
      <a:endParaRPr lang="ja-JP"/>
    </a:p>
  </c:txPr>
  <c:printSettings>
    <c:headerFooter alignWithMargins="0"/>
    <c:pageMargins b="1" l="0.750000000000006" r="0.750000000000006" t="1" header="0.5" footer="0.5"/>
    <c:pageSetup paperSize="5" orientation="portrait"/>
  </c:printSettings>
</c:chartSpace>
</file>

<file path=xl/ctrlProps/ctrlProp1.xml><?xml version="1.0" encoding="utf-8"?>
<formControlPr xmlns="http://schemas.microsoft.com/office/spreadsheetml/2009/9/main" objectType="Spin" dx="16" fmlaLink="$E$7" max="65" min="3" page="10" val="24"/>
</file>

<file path=xl/ctrlProps/ctrlProp10.xml><?xml version="1.0" encoding="utf-8"?>
<formControlPr xmlns="http://schemas.microsoft.com/office/spreadsheetml/2009/9/main" objectType="Drop" dropStyle="combo" dx="16" fmlaLink="$Q$41" fmlaRange="'Variable Mgmt'!$R$56:$R$58" noThreeD="1" sel="1" val="0"/>
</file>

<file path=xl/ctrlProps/ctrlProp11.xml><?xml version="1.0" encoding="utf-8"?>
<formControlPr xmlns="http://schemas.microsoft.com/office/spreadsheetml/2009/9/main" objectType="Drop" dropStyle="combo" dx="16" fmlaLink="$Q$38" fmlaRange="'Variable Mgmt'!$W$65:$W$68" noThreeD="1" sel="1" val="0"/>
</file>

<file path=xl/ctrlProps/ctrlProp12.xml><?xml version="1.0" encoding="utf-8"?>
<formControlPr xmlns="http://schemas.microsoft.com/office/spreadsheetml/2009/9/main" objectType="Drop" dropStyle="combo" dx="16" fmlaLink="$Q$37" fmlaRange="'Variable Mgmt'!$W$65:$W$68" noThreeD="1" sel="2" val="0"/>
</file>

<file path=xl/ctrlProps/ctrlProp13.xml><?xml version="1.0" encoding="utf-8"?>
<formControlPr xmlns="http://schemas.microsoft.com/office/spreadsheetml/2009/9/main" objectType="Drop" dropStyle="combo" dx="16" fmlaLink="$Q$40" fmlaRange="'Variable Mgmt'!$R$56:$R$58" noThreeD="1" sel="1" val="0"/>
</file>

<file path=xl/ctrlProps/ctrlProp14.xml><?xml version="1.0" encoding="utf-8"?>
<formControlPr xmlns="http://schemas.microsoft.com/office/spreadsheetml/2009/9/main" objectType="Drop" dropStyle="combo" dx="16" fmlaLink="$Q$42" fmlaRange="'Variable Mgmt'!$R$56:$R$58" noThreeD="1" sel="1" val="0"/>
</file>

<file path=xl/ctrlProps/ctrlProp15.xml><?xml version="1.0" encoding="utf-8"?>
<formControlPr xmlns="http://schemas.microsoft.com/office/spreadsheetml/2009/9/main" objectType="Drop" dropStyle="combo" dx="16" fmlaLink="$Q$43" fmlaRange="'Variable Mgmt'!$R$56:$R$58" noThreeD="1" sel="1" val="0"/>
</file>

<file path=xl/ctrlProps/ctrlProp16.xml><?xml version="1.0" encoding="utf-8"?>
<formControlPr xmlns="http://schemas.microsoft.com/office/spreadsheetml/2009/9/main" objectType="Drop" dropStyle="combo" dx="16" fmlaLink="$Q$44" fmlaRange="'Variable Mgmt'!$R$56:$R$58" noThreeD="1" sel="1" val="0"/>
</file>

<file path=xl/ctrlProps/ctrlProp17.xml><?xml version="1.0" encoding="utf-8"?>
<formControlPr xmlns="http://schemas.microsoft.com/office/spreadsheetml/2009/9/main" objectType="Drop" dropStyle="combo" dx="16" fmlaLink="$Q$35" fmlaRange="'Variable Mgmt'!$W$65:$W$68" noThreeD="1" sel="3" val="0"/>
</file>

<file path=xl/ctrlProps/ctrlProp18.xml><?xml version="1.0" encoding="utf-8"?>
<formControlPr xmlns="http://schemas.microsoft.com/office/spreadsheetml/2009/9/main" objectType="Drop" dropStyle="combo" dx="16" fmlaLink="$Q$45" fmlaRange="'Variable Mgmt'!$R$65:$R$71" noThreeD="1" sel="5" val="0"/>
</file>

<file path=xl/ctrlProps/ctrlProp19.xml><?xml version="1.0" encoding="utf-8"?>
<formControlPr xmlns="http://schemas.microsoft.com/office/spreadsheetml/2009/9/main" objectType="Drop" dropStyle="combo" dx="16" fmlaLink="$Q$34" fmlaRange="'Variable Mgmt'!$R$56:$R$58" noThreeD="1" sel="1" val="0"/>
</file>

<file path=xl/ctrlProps/ctrlProp2.xml><?xml version="1.0" encoding="utf-8"?>
<formControlPr xmlns="http://schemas.microsoft.com/office/spreadsheetml/2009/9/main" objectType="Drop" dropStyle="combo" dx="16" fmlaLink="'Variable Mgmt'!$J$56" fmlaRange="'Variable Mgmt'!$I$54:$I$55" noThreeD="1" sel="2" val="0"/>
</file>

<file path=xl/ctrlProps/ctrlProp20.xml><?xml version="1.0" encoding="utf-8"?>
<formControlPr xmlns="http://schemas.microsoft.com/office/spreadsheetml/2009/9/main" objectType="Drop" dropStyle="combo" dx="16" fmlaLink="$Q$33" fmlaRange="'Variable Mgmt'!$R$56:$R$60" noThreeD="1" sel="5" val="0"/>
</file>

<file path=xl/ctrlProps/ctrlProp21.xml><?xml version="1.0" encoding="utf-8"?>
<formControlPr xmlns="http://schemas.microsoft.com/office/spreadsheetml/2009/9/main" objectType="Drop" dropStyle="combo" dx="16" fmlaLink="$Q$39" fmlaRange="'Variable Mgmt'!$W$65:$W$68" noThreeD="1" sel="1" val="0"/>
</file>

<file path=xl/ctrlProps/ctrlProp22.xml><?xml version="1.0" encoding="utf-8"?>
<formControlPr xmlns="http://schemas.microsoft.com/office/spreadsheetml/2009/9/main" objectType="Drop" dropLines="2" dropStyle="combo" dx="16" fmlaLink="'Variable Mgmt'!$M$56" fmlaRange="'Variable Mgmt'!$L$54:$L$55" noThreeD="1" sel="1" val="0"/>
</file>

<file path=xl/ctrlProps/ctrlProp3.xml><?xml version="1.0" encoding="utf-8"?>
<formControlPr xmlns="http://schemas.microsoft.com/office/spreadsheetml/2009/9/main" objectType="Drop" dropLines="2" dropStyle="combo" dx="16" fmlaLink="'Variable Mgmt'!$G$56" fmlaRange="'Variable Mgmt'!$F$54:$F$55" noThreeD="1" sel="1" val="0"/>
</file>

<file path=xl/ctrlProps/ctrlProp4.xml><?xml version="1.0" encoding="utf-8"?>
<formControlPr xmlns="http://schemas.microsoft.com/office/spreadsheetml/2009/9/main" objectType="Drop" dropLines="10" dropStyle="combo" dx="16" fmlaLink="'Variable Mgmt'!$S$38" fmlaRange="'Variable Mgmt'!$R$28:$R$37" noThreeD="1" sel="4" val="0"/>
</file>

<file path=xl/ctrlProps/ctrlProp5.xml><?xml version="1.0" encoding="utf-8"?>
<formControlPr xmlns="http://schemas.microsoft.com/office/spreadsheetml/2009/9/main" objectType="Drop" dropStyle="combo" dx="16" fmlaLink="'Variable Mgmt'!$G$50" fmlaRange="'Variable Mgmt'!$F$48:$F$49" noThreeD="1" sel="2" val="0"/>
</file>

<file path=xl/ctrlProps/ctrlProp6.xml><?xml version="1.0" encoding="utf-8"?>
<formControlPr xmlns="http://schemas.microsoft.com/office/spreadsheetml/2009/9/main" objectType="Drop" dropLines="10" dropStyle="combo" dx="16" fmlaLink="'Variable Mgmt'!$C$51" fmlaRange="'Variable Mgmt'!$B$48:$B$49" noThreeD="1" sel="1" val="0"/>
</file>

<file path=xl/ctrlProps/ctrlProp7.xml><?xml version="1.0" encoding="utf-8"?>
<formControlPr xmlns="http://schemas.microsoft.com/office/spreadsheetml/2009/9/main" objectType="Drop" dropStyle="combo" dx="16" fmlaLink="'BOM &amp; Schematic'!$Q$31" fmlaRange="'Variable Mgmt'!$R$56:$R$60" noThreeD="1" sel="5" val="0"/>
</file>

<file path=xl/ctrlProps/ctrlProp8.xml><?xml version="1.0" encoding="utf-8"?>
<formControlPr xmlns="http://schemas.microsoft.com/office/spreadsheetml/2009/9/main" objectType="Drop" dropStyle="combo" dx="16" fmlaLink="$Q$32" fmlaRange="'Variable Mgmt'!$R$56:$R$60" noThreeD="1" sel="5" val="0"/>
</file>

<file path=xl/ctrlProps/ctrlProp9.xml><?xml version="1.0" encoding="utf-8"?>
<formControlPr xmlns="http://schemas.microsoft.com/office/spreadsheetml/2009/9/main" objectType="Drop" dropStyle="combo" dx="16" fmlaLink="$Q$36" fmlaRange="'Variable Mgmt'!$W$65:$W$68" noThreeD="1" sel="3" val="0"/>
</file>

<file path=xl/drawings/_rels/drawing1.xml.rels><?xml version="1.0" encoding="UTF-8" standalone="yes"?>
<Relationships xmlns="http://schemas.openxmlformats.org/package/2006/relationships"><Relationship Id="rId8" Type="http://schemas.openxmlformats.org/officeDocument/2006/relationships/image" Target="../media/image5.jpg"/><Relationship Id="rId3" Type="http://schemas.openxmlformats.org/officeDocument/2006/relationships/hyperlink" Target="http://www.ti.com/widevin" TargetMode="External"/><Relationship Id="rId7" Type="http://schemas.openxmlformats.org/officeDocument/2006/relationships/hyperlink" Target="http://www.ti.com/automotive" TargetMode="External"/><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4.jpg"/><Relationship Id="rId5" Type="http://schemas.openxmlformats.org/officeDocument/2006/relationships/hyperlink" Target="http://www.ti.com/industrial" TargetMode="External"/><Relationship Id="rId4" Type="http://schemas.openxmlformats.org/officeDocument/2006/relationships/image" Target="../media/image3.jpg"/><Relationship Id="rId9" Type="http://schemas.openxmlformats.org/officeDocument/2006/relationships/image" Target="../media/image6.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image" Target="../media/image19.emf"/></Relationships>
</file>

<file path=xl/drawings/_rels/drawing13.xml.rels><?xml version="1.0" encoding="UTF-8" standalone="yes"?>
<Relationships xmlns="http://schemas.openxmlformats.org/package/2006/relationships"><Relationship Id="rId8" Type="http://schemas.openxmlformats.org/officeDocument/2006/relationships/image" Target="../media/image28.emf"/><Relationship Id="rId13" Type="http://schemas.openxmlformats.org/officeDocument/2006/relationships/image" Target="../media/image33.emf"/><Relationship Id="rId18" Type="http://schemas.openxmlformats.org/officeDocument/2006/relationships/image" Target="../media/image38.emf"/><Relationship Id="rId3" Type="http://schemas.openxmlformats.org/officeDocument/2006/relationships/image" Target="../media/image23.emf"/><Relationship Id="rId21" Type="http://schemas.openxmlformats.org/officeDocument/2006/relationships/image" Target="../media/image41.emf"/><Relationship Id="rId7" Type="http://schemas.openxmlformats.org/officeDocument/2006/relationships/image" Target="../media/image27.emf"/><Relationship Id="rId12" Type="http://schemas.openxmlformats.org/officeDocument/2006/relationships/image" Target="../media/image32.emf"/><Relationship Id="rId17" Type="http://schemas.openxmlformats.org/officeDocument/2006/relationships/image" Target="../media/image37.emf"/><Relationship Id="rId2" Type="http://schemas.openxmlformats.org/officeDocument/2006/relationships/image" Target="../media/image22.emf"/><Relationship Id="rId16" Type="http://schemas.openxmlformats.org/officeDocument/2006/relationships/image" Target="../media/image36.emf"/><Relationship Id="rId20" Type="http://schemas.openxmlformats.org/officeDocument/2006/relationships/image" Target="../media/image40.emf"/><Relationship Id="rId1" Type="http://schemas.openxmlformats.org/officeDocument/2006/relationships/image" Target="../media/image21.emf"/><Relationship Id="rId6" Type="http://schemas.openxmlformats.org/officeDocument/2006/relationships/image" Target="../media/image26.emf"/><Relationship Id="rId11" Type="http://schemas.openxmlformats.org/officeDocument/2006/relationships/image" Target="../media/image31.emf"/><Relationship Id="rId24" Type="http://schemas.openxmlformats.org/officeDocument/2006/relationships/image" Target="../media/image44.emf"/><Relationship Id="rId5" Type="http://schemas.openxmlformats.org/officeDocument/2006/relationships/image" Target="../media/image25.emf"/><Relationship Id="rId15" Type="http://schemas.openxmlformats.org/officeDocument/2006/relationships/image" Target="../media/image35.emf"/><Relationship Id="rId23" Type="http://schemas.openxmlformats.org/officeDocument/2006/relationships/image" Target="../media/image43.emf"/><Relationship Id="rId10" Type="http://schemas.openxmlformats.org/officeDocument/2006/relationships/image" Target="../media/image30.emf"/><Relationship Id="rId19" Type="http://schemas.openxmlformats.org/officeDocument/2006/relationships/image" Target="../media/image39.emf"/><Relationship Id="rId4" Type="http://schemas.openxmlformats.org/officeDocument/2006/relationships/image" Target="../media/image24.emf"/><Relationship Id="rId9" Type="http://schemas.openxmlformats.org/officeDocument/2006/relationships/image" Target="../media/image29.emf"/><Relationship Id="rId14" Type="http://schemas.openxmlformats.org/officeDocument/2006/relationships/image" Target="../media/image34.emf"/><Relationship Id="rId22" Type="http://schemas.openxmlformats.org/officeDocument/2006/relationships/image" Target="../media/image42.emf"/></Relationships>
</file>

<file path=xl/drawings/_rels/drawing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3.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chart" Target="../charts/chart10.xml"/><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image" Target="../media/image16.png"/><Relationship Id="rId1" Type="http://schemas.openxmlformats.org/officeDocument/2006/relationships/chart" Target="../charts/chart12.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209550</xdr:colOff>
          <xdr:row>24</xdr:row>
          <xdr:rowOff>243409</xdr:rowOff>
        </xdr:from>
        <xdr:to>
          <xdr:col>25</xdr:col>
          <xdr:colOff>1895036</xdr:colOff>
          <xdr:row>45</xdr:row>
          <xdr:rowOff>91228</xdr:rowOff>
        </xdr:to>
        <xdr:pic>
          <xdr:nvPicPr>
            <xdr:cNvPr id="59" name="Picture 8888">
              <a:extLst>
                <a:ext uri="{FF2B5EF4-FFF2-40B4-BE49-F238E27FC236}">
                  <a16:creationId xmlns:a16="http://schemas.microsoft.com/office/drawing/2014/main" id="{00000000-0008-0000-0000-00003B000000}"/>
                </a:ext>
              </a:extLst>
            </xdr:cNvPr>
            <xdr:cNvPicPr>
              <a:picLocks noChangeAspect="1" noChangeArrowheads="1"/>
              <a:extLst>
                <a:ext uri="{84589F7E-364E-4C9E-8A38-B11213B215E9}">
                  <a14:cameraTool cellRange="PICTURE3" spid="_x0000_s736595"/>
                </a:ext>
              </a:extLst>
            </xdr:cNvPicPr>
          </xdr:nvPicPr>
          <xdr:blipFill>
            <a:blip xmlns:r="http://schemas.openxmlformats.org/officeDocument/2006/relationships" r:embed="rId1"/>
            <a:srcRect/>
            <a:stretch>
              <a:fillRect/>
            </a:stretch>
          </xdr:blipFill>
          <xdr:spPr bwMode="auto">
            <a:xfrm>
              <a:off x="10701704" y="5408890"/>
              <a:ext cx="6675120" cy="4090107"/>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305021</xdr:colOff>
          <xdr:row>4</xdr:row>
          <xdr:rowOff>103292</xdr:rowOff>
        </xdr:from>
        <xdr:to>
          <xdr:col>25</xdr:col>
          <xdr:colOff>46264</xdr:colOff>
          <xdr:row>24</xdr:row>
          <xdr:rowOff>212257</xdr:rowOff>
        </xdr:to>
        <xdr:pic>
          <xdr:nvPicPr>
            <xdr:cNvPr id="45" name="Picture 8888">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PICTURE1" spid="_x0000_s736596"/>
                </a:ext>
              </a:extLst>
            </xdr:cNvPicPr>
          </xdr:nvPicPr>
          <xdr:blipFill>
            <a:blip xmlns:r="http://schemas.openxmlformats.org/officeDocument/2006/relationships" r:embed="rId2"/>
            <a:srcRect/>
            <a:stretch>
              <a:fillRect/>
            </a:stretch>
          </xdr:blipFill>
          <xdr:spPr bwMode="auto">
            <a:xfrm>
              <a:off x="8239346" y="1246292"/>
              <a:ext cx="7313618" cy="4166615"/>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twoCellAnchor>
    <xdr:from>
      <xdr:col>14</xdr:col>
      <xdr:colOff>381978</xdr:colOff>
      <xdr:row>11</xdr:row>
      <xdr:rowOff>72357</xdr:rowOff>
    </xdr:from>
    <xdr:to>
      <xdr:col>15</xdr:col>
      <xdr:colOff>99301</xdr:colOff>
      <xdr:row>12</xdr:row>
      <xdr:rowOff>95485</xdr:rowOff>
    </xdr:to>
    <xdr:sp macro="" textlink="">
      <xdr:nvSpPr>
        <xdr:cNvPr id="2292" name="Text Box 244">
          <a:extLst>
            <a:ext uri="{FF2B5EF4-FFF2-40B4-BE49-F238E27FC236}">
              <a16:creationId xmlns:a16="http://schemas.microsoft.com/office/drawing/2014/main" id="{00000000-0008-0000-0000-0000F4080000}"/>
            </a:ext>
          </a:extLst>
        </xdr:cNvPr>
        <xdr:cNvSpPr txBox="1">
          <a:spLocks noChangeArrowheads="1"/>
        </xdr:cNvSpPr>
      </xdr:nvSpPr>
      <xdr:spPr bwMode="auto">
        <a:xfrm>
          <a:off x="8925903" y="2644107"/>
          <a:ext cx="326923" cy="223153"/>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C</a:t>
          </a:r>
          <a:r>
            <a:rPr lang="en-US" sz="1100" b="0" i="0" strike="noStrike" baseline="-25000">
              <a:solidFill>
                <a:srgbClr val="000000"/>
              </a:solidFill>
              <a:latin typeface="Arial" pitchFamily="34" charset="0"/>
              <a:cs typeface="Arial" pitchFamily="34" charset="0"/>
            </a:rPr>
            <a:t>IN</a:t>
          </a:r>
        </a:p>
      </xdr:txBody>
    </xdr:sp>
    <xdr:clientData/>
  </xdr:twoCellAnchor>
  <xdr:twoCellAnchor>
    <xdr:from>
      <xdr:col>23</xdr:col>
      <xdr:colOff>132557</xdr:colOff>
      <xdr:row>9</xdr:row>
      <xdr:rowOff>152400</xdr:rowOff>
    </xdr:from>
    <xdr:to>
      <xdr:col>24</xdr:col>
      <xdr:colOff>16035</xdr:colOff>
      <xdr:row>10</xdr:row>
      <xdr:rowOff>152762</xdr:rowOff>
    </xdr:to>
    <xdr:sp macro="" textlink="'Variable Mgmt'!B213">
      <xdr:nvSpPr>
        <xdr:cNvPr id="2315" name="Text Box 267">
          <a:extLst>
            <a:ext uri="{FF2B5EF4-FFF2-40B4-BE49-F238E27FC236}">
              <a16:creationId xmlns:a16="http://schemas.microsoft.com/office/drawing/2014/main" id="{00000000-0008-0000-0000-00000B090000}"/>
            </a:ext>
          </a:extLst>
        </xdr:cNvPr>
        <xdr:cNvSpPr txBox="1">
          <a:spLocks noChangeArrowheads="1" noTextEdit="1"/>
        </xdr:cNvSpPr>
      </xdr:nvSpPr>
      <xdr:spPr bwMode="auto">
        <a:xfrm>
          <a:off x="14420057" y="2324100"/>
          <a:ext cx="493078" cy="200387"/>
        </a:xfrm>
        <a:prstGeom prst="rect">
          <a:avLst/>
        </a:prstGeom>
        <a:noFill/>
        <a:ln w="9525">
          <a:noFill/>
          <a:miter lim="800000"/>
          <a:headEnd/>
          <a:tailEnd/>
        </a:ln>
      </xdr:spPr>
      <xdr:txBody>
        <a:bodyPr vertOverflow="clip" wrap="square" lIns="27432" tIns="22860" rIns="0" bIns="0" anchor="ctr" upright="1"/>
        <a:lstStyle/>
        <a:p>
          <a:pPr algn="l" rtl="0">
            <a:defRPr sz="1000"/>
          </a:pPr>
          <a:fld id="{DEF62FD0-959B-4627-B7E8-61CA1688D174}" type="TxLink">
            <a:rPr lang="en-US" sz="1100" b="0" i="0" u="none" strike="noStrike" baseline="0">
              <a:solidFill>
                <a:srgbClr val="000000"/>
              </a:solidFill>
              <a:latin typeface="Arial" pitchFamily="34" charset="0"/>
              <a:cs typeface="Arial" pitchFamily="34" charset="0"/>
            </a:rPr>
            <a:pPr algn="l" rtl="0">
              <a:defRPr sz="1000"/>
            </a:pPr>
            <a:t>100µF</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20</xdr:col>
      <xdr:colOff>471028</xdr:colOff>
      <xdr:row>11</xdr:row>
      <xdr:rowOff>166894</xdr:rowOff>
    </xdr:from>
    <xdr:to>
      <xdr:col>21</xdr:col>
      <xdr:colOff>310312</xdr:colOff>
      <xdr:row>13</xdr:row>
      <xdr:rowOff>15767</xdr:rowOff>
    </xdr:to>
    <xdr:sp macro="" textlink="'Variable Mgmt'!B199">
      <xdr:nvSpPr>
        <xdr:cNvPr id="2323" name="Text Box 275">
          <a:extLst>
            <a:ext uri="{FF2B5EF4-FFF2-40B4-BE49-F238E27FC236}">
              <a16:creationId xmlns:a16="http://schemas.microsoft.com/office/drawing/2014/main" id="{00000000-0008-0000-0000-000013090000}"/>
            </a:ext>
          </a:extLst>
        </xdr:cNvPr>
        <xdr:cNvSpPr txBox="1">
          <a:spLocks noChangeArrowheads="1" noTextEdit="1"/>
        </xdr:cNvSpPr>
      </xdr:nvSpPr>
      <xdr:spPr bwMode="auto">
        <a:xfrm>
          <a:off x="12929728" y="2738644"/>
          <a:ext cx="448884" cy="248923"/>
        </a:xfrm>
        <a:prstGeom prst="rect">
          <a:avLst/>
        </a:prstGeom>
        <a:noFill/>
        <a:ln w="9525">
          <a:noFill/>
          <a:miter lim="800000"/>
          <a:headEnd/>
          <a:tailEnd/>
        </a:ln>
      </xdr:spPr>
      <xdr:txBody>
        <a:bodyPr vertOverflow="clip" wrap="square" lIns="27432" tIns="22860" rIns="0" bIns="0" anchor="ctr" upright="1"/>
        <a:lstStyle/>
        <a:p>
          <a:pPr algn="ctr" rtl="0">
            <a:defRPr sz="1000"/>
          </a:pPr>
          <a:fld id="{08583DE7-3129-476B-98BE-2887A134E956}" type="TxLink">
            <a:rPr lang="en-US" sz="1050" b="0" i="0" u="none" strike="noStrike" baseline="0">
              <a:solidFill>
                <a:srgbClr val="000000"/>
              </a:solidFill>
              <a:latin typeface="Arial" pitchFamily="34" charset="0"/>
              <a:cs typeface="Arial" pitchFamily="34" charset="0"/>
            </a:rPr>
            <a:pPr algn="ctr" rtl="0">
              <a:defRPr sz="1000"/>
            </a:pPr>
            <a:t>84µH</a:t>
          </a:fld>
          <a:endParaRPr lang="en-US" sz="1050" b="0" i="0" u="none" strike="noStrike" baseline="0">
            <a:solidFill>
              <a:srgbClr val="000000"/>
            </a:solidFill>
            <a:latin typeface="Arial" pitchFamily="34" charset="0"/>
            <a:cs typeface="Arial" pitchFamily="34" charset="0"/>
          </a:endParaRPr>
        </a:p>
      </xdr:txBody>
    </xdr:sp>
    <xdr:clientData/>
  </xdr:twoCellAnchor>
  <xdr:twoCellAnchor>
    <xdr:from>
      <xdr:col>14</xdr:col>
      <xdr:colOff>291064</xdr:colOff>
      <xdr:row>12</xdr:row>
      <xdr:rowOff>96249</xdr:rowOff>
    </xdr:from>
    <xdr:to>
      <xdr:col>15</xdr:col>
      <xdr:colOff>155296</xdr:colOff>
      <xdr:row>13</xdr:row>
      <xdr:rowOff>88852</xdr:rowOff>
    </xdr:to>
    <xdr:sp macro="" textlink="'Variable Mgmt'!B218">
      <xdr:nvSpPr>
        <xdr:cNvPr id="2324" name="Text Box 276">
          <a:extLst>
            <a:ext uri="{FF2B5EF4-FFF2-40B4-BE49-F238E27FC236}">
              <a16:creationId xmlns:a16="http://schemas.microsoft.com/office/drawing/2014/main" id="{00000000-0008-0000-0000-000014090000}"/>
            </a:ext>
          </a:extLst>
        </xdr:cNvPr>
        <xdr:cNvSpPr txBox="1">
          <a:spLocks noChangeArrowheads="1" noTextEdit="1"/>
        </xdr:cNvSpPr>
      </xdr:nvSpPr>
      <xdr:spPr bwMode="auto">
        <a:xfrm>
          <a:off x="8834989" y="2868024"/>
          <a:ext cx="473832" cy="192628"/>
        </a:xfrm>
        <a:prstGeom prst="rect">
          <a:avLst/>
        </a:prstGeom>
        <a:noFill/>
        <a:ln w="9525">
          <a:noFill/>
          <a:miter lim="800000"/>
          <a:headEnd/>
          <a:tailEnd/>
        </a:ln>
      </xdr:spPr>
      <xdr:txBody>
        <a:bodyPr vertOverflow="clip" wrap="square" lIns="27432" tIns="22860" rIns="0" bIns="0" anchor="ctr" upright="1"/>
        <a:lstStyle/>
        <a:p>
          <a:pPr algn="ctr" rtl="0">
            <a:defRPr sz="1000"/>
          </a:pPr>
          <a:fld id="{7E8F3901-1453-4951-8E28-510E65401D4C}" type="TxLink">
            <a:rPr lang="en-US" sz="1100" b="0" i="0" u="none" strike="noStrike" baseline="0">
              <a:solidFill>
                <a:srgbClr val="000000"/>
              </a:solidFill>
              <a:latin typeface="Arial" pitchFamily="34" charset="0"/>
              <a:cs typeface="Arial" pitchFamily="34" charset="0"/>
            </a:rPr>
            <a:pPr algn="ctr" rtl="0">
              <a:defRPr sz="1000"/>
            </a:pPr>
            <a:t>22µF</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15</xdr:col>
      <xdr:colOff>240362</xdr:colOff>
      <xdr:row>21</xdr:row>
      <xdr:rowOff>19528</xdr:rowOff>
    </xdr:from>
    <xdr:to>
      <xdr:col>16</xdr:col>
      <xdr:colOff>8055</xdr:colOff>
      <xdr:row>22</xdr:row>
      <xdr:rowOff>97673</xdr:rowOff>
    </xdr:to>
    <xdr:sp macro="" textlink="'Variable Mgmt'!D245">
      <xdr:nvSpPr>
        <xdr:cNvPr id="2329" name="Text Box 281">
          <a:extLst>
            <a:ext uri="{FF2B5EF4-FFF2-40B4-BE49-F238E27FC236}">
              <a16:creationId xmlns:a16="http://schemas.microsoft.com/office/drawing/2014/main" id="{00000000-0008-0000-0000-000019090000}"/>
            </a:ext>
          </a:extLst>
        </xdr:cNvPr>
        <xdr:cNvSpPr txBox="1">
          <a:spLocks noChangeArrowheads="1" noTextEdit="1"/>
        </xdr:cNvSpPr>
      </xdr:nvSpPr>
      <xdr:spPr bwMode="auto">
        <a:xfrm>
          <a:off x="9393887" y="4639153"/>
          <a:ext cx="443968" cy="287695"/>
        </a:xfrm>
        <a:prstGeom prst="rect">
          <a:avLst/>
        </a:prstGeom>
        <a:noFill/>
        <a:ln w="9525">
          <a:noFill/>
          <a:miter lim="800000"/>
          <a:headEnd/>
          <a:tailEnd/>
        </a:ln>
      </xdr:spPr>
      <xdr:txBody>
        <a:bodyPr vertOverflow="clip" wrap="square" lIns="27432" tIns="22860" rIns="0" bIns="0" anchor="ctr" upright="1"/>
        <a:lstStyle/>
        <a:p>
          <a:pPr algn="ctr" rtl="0">
            <a:defRPr sz="1000"/>
          </a:pPr>
          <a:fld id="{F2115F91-8BFD-4C9B-9969-8B2C04ADF4C5}" type="TxLink">
            <a:rPr lang="en-US" sz="1100" b="0" i="0" u="none" strike="noStrike">
              <a:solidFill>
                <a:srgbClr val="000000"/>
              </a:solidFill>
              <a:latin typeface="Arial"/>
              <a:cs typeface="Arial"/>
            </a:rPr>
            <a:pPr algn="ctr" rtl="0">
              <a:defRPr sz="1000"/>
            </a:pPr>
            <a:t> </a:t>
          </a:fld>
          <a:endParaRPr lang="en-US" sz="1100" b="0" i="0" strike="noStrike">
            <a:solidFill>
              <a:srgbClr val="000000"/>
            </a:solidFill>
            <a:latin typeface="Arial" pitchFamily="34" charset="0"/>
            <a:cs typeface="Arial" pitchFamily="34" charset="0"/>
          </a:endParaRPr>
        </a:p>
      </xdr:txBody>
    </xdr:sp>
    <xdr:clientData/>
  </xdr:twoCellAnchor>
  <xdr:twoCellAnchor>
    <xdr:from>
      <xdr:col>13</xdr:col>
      <xdr:colOff>383720</xdr:colOff>
      <xdr:row>6</xdr:row>
      <xdr:rowOff>10907</xdr:rowOff>
    </xdr:from>
    <xdr:to>
      <xdr:col>14</xdr:col>
      <xdr:colOff>285286</xdr:colOff>
      <xdr:row>8</xdr:row>
      <xdr:rowOff>95545</xdr:rowOff>
    </xdr:to>
    <xdr:sp macro="" textlink="'Variable Mgmt'!B205">
      <xdr:nvSpPr>
        <xdr:cNvPr id="2331" name="Text Box 283">
          <a:extLst>
            <a:ext uri="{FF2B5EF4-FFF2-40B4-BE49-F238E27FC236}">
              <a16:creationId xmlns:a16="http://schemas.microsoft.com/office/drawing/2014/main" id="{00000000-0008-0000-0000-00001B090000}"/>
            </a:ext>
          </a:extLst>
        </xdr:cNvPr>
        <xdr:cNvSpPr txBox="1">
          <a:spLocks noChangeArrowheads="1" noTextEdit="1"/>
        </xdr:cNvSpPr>
      </xdr:nvSpPr>
      <xdr:spPr bwMode="auto">
        <a:xfrm>
          <a:off x="8318045" y="1601582"/>
          <a:ext cx="511166" cy="465638"/>
        </a:xfrm>
        <a:prstGeom prst="rect">
          <a:avLst/>
        </a:prstGeom>
        <a:noFill/>
        <a:ln w="9525">
          <a:noFill/>
          <a:miter lim="800000"/>
          <a:headEnd/>
          <a:tailEnd/>
        </a:ln>
      </xdr:spPr>
      <xdr:txBody>
        <a:bodyPr vertOverflow="clip" wrap="square" lIns="27432" tIns="22860" rIns="0" bIns="0" anchor="ctr" upright="1"/>
        <a:lstStyle/>
        <a:p>
          <a:pPr algn="r" rtl="0">
            <a:defRPr sz="1000"/>
          </a:pPr>
          <a:fld id="{211B0151-B00E-493E-8C8F-6E492416D93B}" type="TxLink">
            <a:rPr lang="en-US" sz="1400" b="1" i="0" u="none" strike="noStrike">
              <a:solidFill>
                <a:srgbClr val="FF0000"/>
              </a:solidFill>
              <a:latin typeface="Arial" pitchFamily="34" charset="0"/>
              <a:cs typeface="Arial" pitchFamily="34" charset="0"/>
            </a:rPr>
            <a:pPr algn="r" rtl="0">
              <a:defRPr sz="1000"/>
            </a:pPr>
            <a:t>24V</a:t>
          </a:fld>
          <a:endParaRPr lang="en-US" sz="1400" b="1" i="0" strike="noStrike">
            <a:solidFill>
              <a:srgbClr val="FF0000"/>
            </a:solidFill>
            <a:latin typeface="Arial" pitchFamily="34" charset="0"/>
            <a:cs typeface="Arial" pitchFamily="34" charset="0"/>
          </a:endParaRPr>
        </a:p>
      </xdr:txBody>
    </xdr:sp>
    <xdr:clientData/>
  </xdr:twoCellAnchor>
  <xdr:twoCellAnchor>
    <xdr:from>
      <xdr:col>24</xdr:col>
      <xdr:colOff>19339</xdr:colOff>
      <xdr:row>6</xdr:row>
      <xdr:rowOff>57503</xdr:rowOff>
    </xdr:from>
    <xdr:to>
      <xdr:col>25</xdr:col>
      <xdr:colOff>74772</xdr:colOff>
      <xdr:row>8</xdr:row>
      <xdr:rowOff>34017</xdr:rowOff>
    </xdr:to>
    <xdr:sp macro="" textlink="'Variable Mgmt'!B208">
      <xdr:nvSpPr>
        <xdr:cNvPr id="2333" name="Text Box 285">
          <a:extLst>
            <a:ext uri="{FF2B5EF4-FFF2-40B4-BE49-F238E27FC236}">
              <a16:creationId xmlns:a16="http://schemas.microsoft.com/office/drawing/2014/main" id="{00000000-0008-0000-0000-00001D090000}"/>
            </a:ext>
          </a:extLst>
        </xdr:cNvPr>
        <xdr:cNvSpPr txBox="1">
          <a:spLocks noChangeArrowheads="1" noTextEdit="1"/>
        </xdr:cNvSpPr>
      </xdr:nvSpPr>
      <xdr:spPr bwMode="auto">
        <a:xfrm>
          <a:off x="14916439" y="1648178"/>
          <a:ext cx="665033" cy="357514"/>
        </a:xfrm>
        <a:prstGeom prst="rect">
          <a:avLst/>
        </a:prstGeom>
        <a:noFill/>
        <a:ln w="9525">
          <a:noFill/>
          <a:miter lim="800000"/>
          <a:headEnd/>
          <a:tailEnd/>
        </a:ln>
      </xdr:spPr>
      <xdr:txBody>
        <a:bodyPr vertOverflow="clip" wrap="square" lIns="27432" tIns="22860" rIns="0" bIns="0" anchor="ctr" upright="1"/>
        <a:lstStyle/>
        <a:p>
          <a:pPr algn="l" rtl="0">
            <a:defRPr sz="1000"/>
          </a:pPr>
          <a:fld id="{702C2B8A-7C4B-4FDB-B229-3170089D9686}" type="TxLink">
            <a:rPr lang="en-US" sz="1400" b="1" i="0" u="none" strike="noStrike" baseline="0">
              <a:solidFill>
                <a:srgbClr val="FF0000"/>
              </a:solidFill>
              <a:latin typeface="Arial" pitchFamily="34" charset="0"/>
              <a:cs typeface="Arial" pitchFamily="34" charset="0"/>
            </a:rPr>
            <a:pPr algn="l" rtl="0">
              <a:defRPr sz="1000"/>
            </a:pPr>
            <a:t>12V</a:t>
          </a:fld>
          <a:endParaRPr lang="en-US" sz="1400" b="1" i="0" u="none" strike="noStrike" baseline="0">
            <a:solidFill>
              <a:srgbClr val="FF0000"/>
            </a:solidFill>
            <a:latin typeface="Arial" pitchFamily="34" charset="0"/>
            <a:cs typeface="Arial" pitchFamily="34" charset="0"/>
          </a:endParaRPr>
        </a:p>
      </xdr:txBody>
    </xdr:sp>
    <xdr:clientData/>
  </xdr:twoCellAnchor>
  <xdr:twoCellAnchor>
    <xdr:from>
      <xdr:col>23</xdr:col>
      <xdr:colOff>476250</xdr:colOff>
      <xdr:row>7</xdr:row>
      <xdr:rowOff>153310</xdr:rowOff>
    </xdr:from>
    <xdr:to>
      <xdr:col>24</xdr:col>
      <xdr:colOff>417738</xdr:colOff>
      <xdr:row>9</xdr:row>
      <xdr:rowOff>64353</xdr:rowOff>
    </xdr:to>
    <xdr:sp macro="" textlink="'Variable Mgmt'!B263">
      <xdr:nvSpPr>
        <xdr:cNvPr id="2334" name="Text Box 286">
          <a:extLst>
            <a:ext uri="{FF2B5EF4-FFF2-40B4-BE49-F238E27FC236}">
              <a16:creationId xmlns:a16="http://schemas.microsoft.com/office/drawing/2014/main" id="{00000000-0008-0000-0000-00001E090000}"/>
            </a:ext>
          </a:extLst>
        </xdr:cNvPr>
        <xdr:cNvSpPr txBox="1">
          <a:spLocks noChangeArrowheads="1" noTextEdit="1"/>
        </xdr:cNvSpPr>
      </xdr:nvSpPr>
      <xdr:spPr bwMode="auto">
        <a:xfrm>
          <a:off x="14763750" y="1924960"/>
          <a:ext cx="551088" cy="311093"/>
        </a:xfrm>
        <a:prstGeom prst="rect">
          <a:avLst/>
        </a:prstGeom>
        <a:noFill/>
        <a:ln w="9525">
          <a:noFill/>
          <a:miter lim="800000"/>
          <a:headEnd/>
          <a:tailEnd/>
        </a:ln>
      </xdr:spPr>
      <xdr:txBody>
        <a:bodyPr vertOverflow="clip" wrap="square" lIns="27432" tIns="22860" rIns="0" bIns="0" anchor="ctr" upright="1"/>
        <a:lstStyle/>
        <a:p>
          <a:pPr algn="ctr" rtl="0">
            <a:defRPr sz="1000"/>
          </a:pPr>
          <a:fld id="{E0FB88FA-F39E-4ACF-AB5E-DCB628763AAE}" type="TxLink">
            <a:rPr lang="en-US" sz="1350" b="1" i="0" u="none" strike="noStrike">
              <a:solidFill>
                <a:srgbClr val="FF0000"/>
              </a:solidFill>
              <a:latin typeface="Arial" pitchFamily="34" charset="0"/>
              <a:cs typeface="Arial" pitchFamily="34" charset="0"/>
            </a:rPr>
            <a:pPr algn="ctr" rtl="0">
              <a:defRPr sz="1000"/>
            </a:pPr>
            <a:t>0.4A</a:t>
          </a:fld>
          <a:endParaRPr lang="en-US" sz="1350" b="1" i="0" strike="noStrike">
            <a:solidFill>
              <a:srgbClr val="FF0000"/>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xdr:from>
          <xdr:col>5</xdr:col>
          <xdr:colOff>123825</xdr:colOff>
          <xdr:row>6</xdr:row>
          <xdr:rowOff>9525</xdr:rowOff>
        </xdr:from>
        <xdr:to>
          <xdr:col>5</xdr:col>
          <xdr:colOff>304800</xdr:colOff>
          <xdr:row>7</xdr:row>
          <xdr:rowOff>28575</xdr:rowOff>
        </xdr:to>
        <xdr:sp macro="" textlink="">
          <xdr:nvSpPr>
            <xdr:cNvPr id="672895" name="Spinner 127" hidden="1">
              <a:extLst>
                <a:ext uri="{63B3BB69-23CF-44E3-9099-C40C66FF867C}">
                  <a14:compatExt spid="_x0000_s672895"/>
                </a:ext>
                <a:ext uri="{FF2B5EF4-FFF2-40B4-BE49-F238E27FC236}">
                  <a16:creationId xmlns:a16="http://schemas.microsoft.com/office/drawing/2014/main" id="{00000000-0008-0000-0000-00007F440A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15</xdr:col>
      <xdr:colOff>335079</xdr:colOff>
      <xdr:row>10</xdr:row>
      <xdr:rowOff>32564</xdr:rowOff>
    </xdr:from>
    <xdr:to>
      <xdr:col>16</xdr:col>
      <xdr:colOff>183502</xdr:colOff>
      <xdr:row>11</xdr:row>
      <xdr:rowOff>77904</xdr:rowOff>
    </xdr:to>
    <xdr:sp macro="" textlink="'Variable Mgmt'!C237">
      <xdr:nvSpPr>
        <xdr:cNvPr id="71" name="Text Box 268">
          <a:extLst>
            <a:ext uri="{FF2B5EF4-FFF2-40B4-BE49-F238E27FC236}">
              <a16:creationId xmlns:a16="http://schemas.microsoft.com/office/drawing/2014/main" id="{00000000-0008-0000-0000-000047000000}"/>
            </a:ext>
          </a:extLst>
        </xdr:cNvPr>
        <xdr:cNvSpPr txBox="1">
          <a:spLocks noChangeArrowheads="1" noTextEdit="1"/>
        </xdr:cNvSpPr>
      </xdr:nvSpPr>
      <xdr:spPr bwMode="auto">
        <a:xfrm>
          <a:off x="9488604" y="2404289"/>
          <a:ext cx="524698" cy="245365"/>
        </a:xfrm>
        <a:prstGeom prst="rect">
          <a:avLst/>
        </a:prstGeom>
        <a:noFill/>
        <a:ln w="9525">
          <a:noFill/>
          <a:miter lim="800000"/>
          <a:headEnd/>
          <a:tailEnd/>
        </a:ln>
      </xdr:spPr>
      <xdr:txBody>
        <a:bodyPr vertOverflow="clip" wrap="square" lIns="27432" tIns="22860" rIns="0" bIns="0" anchor="ctr" upright="1"/>
        <a:lstStyle/>
        <a:p>
          <a:pPr algn="l" rtl="0">
            <a:defRPr sz="1000"/>
          </a:pPr>
          <a:fld id="{9F0ED324-D4DC-458E-AFDF-B2BC6995B894}" type="TxLink">
            <a:rPr lang="en-US" sz="1000" b="0" i="0" u="none" strike="noStrike">
              <a:solidFill>
                <a:srgbClr val="000000"/>
              </a:solidFill>
              <a:latin typeface="Arial"/>
              <a:cs typeface="Arial"/>
            </a:rPr>
            <a:pPr algn="l" rtl="0">
              <a:defRPr sz="1000"/>
            </a:pPr>
            <a:t>169kΩ</a:t>
          </a:fld>
          <a:endParaRPr lang="el-GR" sz="1000" b="0" i="0" strike="noStrike">
            <a:solidFill>
              <a:srgbClr val="000000"/>
            </a:solidFill>
            <a:latin typeface="Arial" pitchFamily="34" charset="0"/>
            <a:cs typeface="Arial" pitchFamily="34" charset="0"/>
          </a:endParaRPr>
        </a:p>
      </xdr:txBody>
    </xdr:sp>
    <xdr:clientData/>
  </xdr:twoCellAnchor>
  <xdr:twoCellAnchor>
    <xdr:from>
      <xdr:col>15</xdr:col>
      <xdr:colOff>316029</xdr:colOff>
      <xdr:row>14</xdr:row>
      <xdr:rowOff>215084</xdr:rowOff>
    </xdr:from>
    <xdr:to>
      <xdr:col>16</xdr:col>
      <xdr:colOff>164452</xdr:colOff>
      <xdr:row>15</xdr:row>
      <xdr:rowOff>176021</xdr:rowOff>
    </xdr:to>
    <xdr:sp macro="" textlink="'Variable Mgmt'!C238">
      <xdr:nvSpPr>
        <xdr:cNvPr id="73" name="Text Box 268">
          <a:extLst>
            <a:ext uri="{FF2B5EF4-FFF2-40B4-BE49-F238E27FC236}">
              <a16:creationId xmlns:a16="http://schemas.microsoft.com/office/drawing/2014/main" id="{00000000-0008-0000-0000-000049000000}"/>
            </a:ext>
          </a:extLst>
        </xdr:cNvPr>
        <xdr:cNvSpPr txBox="1">
          <a:spLocks noChangeArrowheads="1" noTextEdit="1"/>
        </xdr:cNvSpPr>
      </xdr:nvSpPr>
      <xdr:spPr bwMode="auto">
        <a:xfrm>
          <a:off x="9469554" y="3386909"/>
          <a:ext cx="524698" cy="208587"/>
        </a:xfrm>
        <a:prstGeom prst="rect">
          <a:avLst/>
        </a:prstGeom>
        <a:noFill/>
        <a:ln w="9525">
          <a:noFill/>
          <a:miter lim="800000"/>
          <a:headEnd/>
          <a:tailEnd/>
        </a:ln>
      </xdr:spPr>
      <xdr:txBody>
        <a:bodyPr vertOverflow="clip" wrap="square" lIns="27432" tIns="22860" rIns="0" bIns="0" anchor="ctr" upright="1"/>
        <a:lstStyle/>
        <a:p>
          <a:pPr algn="l" rtl="0">
            <a:defRPr sz="1000"/>
          </a:pPr>
          <a:fld id="{34FF5C9F-E605-45FC-B7D1-F0CC0D61FE72}" type="TxLink">
            <a:rPr lang="en-US" sz="1000" b="0" i="0" u="none" strike="noStrike">
              <a:solidFill>
                <a:srgbClr val="000000"/>
              </a:solidFill>
              <a:latin typeface="Arial"/>
              <a:cs typeface="Arial"/>
            </a:rPr>
            <a:pPr algn="l" rtl="0">
              <a:defRPr sz="1000"/>
            </a:pPr>
            <a:t>84.5kΩ</a:t>
          </a:fld>
          <a:endParaRPr lang="el-GR" sz="1000" b="0" i="0" strike="noStrike">
            <a:solidFill>
              <a:srgbClr val="000000"/>
            </a:solidFill>
            <a:latin typeface="Arial" pitchFamily="34" charset="0"/>
            <a:cs typeface="Arial" pitchFamily="34" charset="0"/>
          </a:endParaRPr>
        </a:p>
      </xdr:txBody>
    </xdr:sp>
    <xdr:clientData/>
  </xdr:twoCellAnchor>
  <xdr:twoCellAnchor>
    <xdr:from>
      <xdr:col>19</xdr:col>
      <xdr:colOff>325713</xdr:colOff>
      <xdr:row>15</xdr:row>
      <xdr:rowOff>30701</xdr:rowOff>
    </xdr:from>
    <xdr:to>
      <xdr:col>20</xdr:col>
      <xdr:colOff>235357</xdr:colOff>
      <xdr:row>16</xdr:row>
      <xdr:rowOff>65648</xdr:rowOff>
    </xdr:to>
    <xdr:sp macro="" textlink="'Variable Mgmt'!C227">
      <xdr:nvSpPr>
        <xdr:cNvPr id="89" name="Text Box 268">
          <a:extLst>
            <a:ext uri="{FF2B5EF4-FFF2-40B4-BE49-F238E27FC236}">
              <a16:creationId xmlns:a16="http://schemas.microsoft.com/office/drawing/2014/main" id="{00000000-0008-0000-0000-000059000000}"/>
            </a:ext>
          </a:extLst>
        </xdr:cNvPr>
        <xdr:cNvSpPr txBox="1">
          <a:spLocks noChangeArrowheads="1" noTextEdit="1"/>
        </xdr:cNvSpPr>
      </xdr:nvSpPr>
      <xdr:spPr bwMode="auto">
        <a:xfrm>
          <a:off x="12174813" y="3450176"/>
          <a:ext cx="519244" cy="234972"/>
        </a:xfrm>
        <a:prstGeom prst="rect">
          <a:avLst/>
        </a:prstGeom>
        <a:noFill/>
        <a:ln w="9525">
          <a:noFill/>
          <a:miter lim="800000"/>
          <a:headEnd/>
          <a:tailEnd/>
        </a:ln>
      </xdr:spPr>
      <xdr:txBody>
        <a:bodyPr vertOverflow="clip" wrap="square" lIns="27432" tIns="22860" rIns="0" bIns="0" anchor="ctr" upright="1"/>
        <a:lstStyle/>
        <a:p>
          <a:pPr algn="l" rtl="0">
            <a:defRPr sz="1000"/>
          </a:pPr>
          <a:fld id="{748954DB-E280-498C-BC91-9439B9EC7524}" type="TxLink">
            <a:rPr lang="en-US" sz="1100" b="0" i="0" u="none" strike="noStrike">
              <a:solidFill>
                <a:srgbClr val="000000"/>
              </a:solidFill>
              <a:latin typeface="Arial"/>
              <a:cs typeface="Arial"/>
            </a:rPr>
            <a:pPr algn="l" rtl="0">
              <a:defRPr sz="1000"/>
            </a:pPr>
            <a:t>246kΩ</a:t>
          </a:fld>
          <a:endParaRPr lang="el-GR" sz="1800" b="0" i="0" strike="noStrike">
            <a:solidFill>
              <a:srgbClr val="000000"/>
            </a:solidFill>
            <a:latin typeface="Arial" pitchFamily="34" charset="0"/>
            <a:cs typeface="Arial" pitchFamily="34" charset="0"/>
          </a:endParaRPr>
        </a:p>
      </xdr:txBody>
    </xdr:sp>
    <xdr:clientData/>
  </xdr:twoCellAnchor>
  <xdr:twoCellAnchor>
    <xdr:from>
      <xdr:col>20</xdr:col>
      <xdr:colOff>366817</xdr:colOff>
      <xdr:row>20</xdr:row>
      <xdr:rowOff>42569</xdr:rowOff>
    </xdr:from>
    <xdr:to>
      <xdr:col>21</xdr:col>
      <xdr:colOff>268980</xdr:colOff>
      <xdr:row>21</xdr:row>
      <xdr:rowOff>43965</xdr:rowOff>
    </xdr:to>
    <xdr:sp macro="" textlink="'Variable Mgmt'!C241">
      <xdr:nvSpPr>
        <xdr:cNvPr id="91" name="Text Box 265">
          <a:extLst>
            <a:ext uri="{FF2B5EF4-FFF2-40B4-BE49-F238E27FC236}">
              <a16:creationId xmlns:a16="http://schemas.microsoft.com/office/drawing/2014/main" id="{00000000-0008-0000-0000-00005B000000}"/>
            </a:ext>
          </a:extLst>
        </xdr:cNvPr>
        <xdr:cNvSpPr txBox="1">
          <a:spLocks noChangeArrowheads="1" noTextEdit="1"/>
        </xdr:cNvSpPr>
      </xdr:nvSpPr>
      <xdr:spPr bwMode="auto">
        <a:xfrm>
          <a:off x="12825517" y="4462169"/>
          <a:ext cx="511763" cy="201421"/>
        </a:xfrm>
        <a:prstGeom prst="rect">
          <a:avLst/>
        </a:prstGeom>
        <a:noFill/>
        <a:ln w="9525">
          <a:noFill/>
          <a:miter lim="800000"/>
          <a:headEnd/>
          <a:tailEnd/>
        </a:ln>
      </xdr:spPr>
      <xdr:txBody>
        <a:bodyPr vertOverflow="clip" wrap="square" lIns="27432" tIns="22860" rIns="0" bIns="0" anchor="t" upright="1"/>
        <a:lstStyle/>
        <a:p>
          <a:pPr algn="l" rtl="0">
            <a:defRPr sz="1000"/>
          </a:pPr>
          <a:fld id="{B2616B24-776D-472C-9328-875E07CFCCA9}" type="TxLink">
            <a:rPr lang="en-US" sz="1100" b="0" i="0" u="none" strike="noStrike" baseline="0">
              <a:solidFill>
                <a:srgbClr val="000000"/>
              </a:solidFill>
              <a:latin typeface="Arial"/>
              <a:cs typeface="Arial"/>
            </a:rPr>
            <a:pPr algn="l" rtl="0">
              <a:defRPr sz="1000"/>
            </a:pPr>
            <a:t>12.1kΩ</a:t>
          </a:fld>
          <a:endParaRPr lang="el-GR" sz="1200" b="0" i="0" u="none" strike="noStrike" baseline="0">
            <a:solidFill>
              <a:srgbClr val="000000"/>
            </a:solidFill>
            <a:latin typeface="Arial" pitchFamily="34" charset="0"/>
            <a:cs typeface="Arial" pitchFamily="34" charset="0"/>
          </a:endParaRPr>
        </a:p>
      </xdr:txBody>
    </xdr:sp>
    <xdr:clientData/>
  </xdr:twoCellAnchor>
  <xdr:twoCellAnchor>
    <xdr:from>
      <xdr:col>13</xdr:col>
      <xdr:colOff>390526</xdr:colOff>
      <xdr:row>8</xdr:row>
      <xdr:rowOff>14707</xdr:rowOff>
    </xdr:from>
    <xdr:to>
      <xdr:col>15</xdr:col>
      <xdr:colOff>200026</xdr:colOff>
      <xdr:row>9</xdr:row>
      <xdr:rowOff>100569</xdr:rowOff>
    </xdr:to>
    <xdr:sp macro="" textlink="'Variable Mgmt'!B206">
      <xdr:nvSpPr>
        <xdr:cNvPr id="35" name="Text Box 283">
          <a:extLst>
            <a:ext uri="{FF2B5EF4-FFF2-40B4-BE49-F238E27FC236}">
              <a16:creationId xmlns:a16="http://schemas.microsoft.com/office/drawing/2014/main" id="{00000000-0008-0000-0000-000023000000}"/>
            </a:ext>
          </a:extLst>
        </xdr:cNvPr>
        <xdr:cNvSpPr txBox="1">
          <a:spLocks noChangeArrowheads="1" noTextEdit="1"/>
        </xdr:cNvSpPr>
      </xdr:nvSpPr>
      <xdr:spPr bwMode="auto">
        <a:xfrm>
          <a:off x="8324851" y="1986382"/>
          <a:ext cx="1028700" cy="285887"/>
        </a:xfrm>
        <a:prstGeom prst="rect">
          <a:avLst/>
        </a:prstGeom>
        <a:noFill/>
        <a:ln w="9525">
          <a:noFill/>
          <a:miter lim="800000"/>
          <a:headEnd/>
          <a:tailEnd/>
        </a:ln>
      </xdr:spPr>
      <xdr:txBody>
        <a:bodyPr vertOverflow="clip" wrap="square" lIns="27432" tIns="22860" rIns="0" bIns="0" anchor="t" upright="1"/>
        <a:lstStyle/>
        <a:p>
          <a:pPr algn="l" rtl="0">
            <a:defRPr sz="1000"/>
          </a:pPr>
          <a:fld id="{47315316-35F3-49E7-A4CE-EA42773D1FAE}" type="TxLink">
            <a:rPr lang="en-US" sz="1200" b="1" i="0" u="none" strike="noStrike">
              <a:solidFill>
                <a:srgbClr val="000000"/>
              </a:solidFill>
              <a:latin typeface="Arial"/>
              <a:cs typeface="Arial"/>
            </a:rPr>
            <a:pPr algn="l" rtl="0">
              <a:defRPr sz="1000"/>
            </a:pPr>
            <a:t>21.6V...26.4V</a:t>
          </a:fld>
          <a:endParaRPr lang="en-US" sz="1200" b="1" i="0" strike="noStrike">
            <a:solidFill>
              <a:srgbClr val="000000"/>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27</xdr:row>
          <xdr:rowOff>0</xdr:rowOff>
        </xdr:from>
        <xdr:to>
          <xdr:col>5</xdr:col>
          <xdr:colOff>276225</xdr:colOff>
          <xdr:row>28</xdr:row>
          <xdr:rowOff>28575</xdr:rowOff>
        </xdr:to>
        <xdr:sp macro="" textlink="">
          <xdr:nvSpPr>
            <xdr:cNvPr id="672935" name="Drop Down 167" hidden="1">
              <a:extLst>
                <a:ext uri="{63B3BB69-23CF-44E3-9099-C40C66FF867C}">
                  <a14:compatExt spid="_x0000_s672935"/>
                </a:ext>
                <a:ext uri="{FF2B5EF4-FFF2-40B4-BE49-F238E27FC236}">
                  <a16:creationId xmlns:a16="http://schemas.microsoft.com/office/drawing/2014/main" id="{00000000-0008-0000-0000-0000A744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19</xdr:col>
      <xdr:colOff>345191</xdr:colOff>
      <xdr:row>18</xdr:row>
      <xdr:rowOff>179673</xdr:rowOff>
    </xdr:from>
    <xdr:to>
      <xdr:col>20</xdr:col>
      <xdr:colOff>66463</xdr:colOff>
      <xdr:row>20</xdr:row>
      <xdr:rowOff>31513</xdr:rowOff>
    </xdr:to>
    <xdr:sp macro="" textlink="'Variable Mgmt'!C233">
      <xdr:nvSpPr>
        <xdr:cNvPr id="43" name="Text Box 225">
          <a:extLst>
            <a:ext uri="{FF2B5EF4-FFF2-40B4-BE49-F238E27FC236}">
              <a16:creationId xmlns:a16="http://schemas.microsoft.com/office/drawing/2014/main" id="{00000000-0008-0000-0000-00002B000000}"/>
            </a:ext>
          </a:extLst>
        </xdr:cNvPr>
        <xdr:cNvSpPr txBox="1">
          <a:spLocks noChangeArrowheads="1"/>
        </xdr:cNvSpPr>
      </xdr:nvSpPr>
      <xdr:spPr bwMode="auto">
        <a:xfrm>
          <a:off x="12194291" y="4199223"/>
          <a:ext cx="330872" cy="251890"/>
        </a:xfrm>
        <a:prstGeom prst="rect">
          <a:avLst/>
        </a:prstGeom>
        <a:noFill/>
        <a:ln w="9525">
          <a:noFill/>
          <a:miter lim="800000"/>
          <a:headEnd/>
          <a:tailEnd/>
        </a:ln>
      </xdr:spPr>
      <xdr:txBody>
        <a:bodyPr vertOverflow="clip" wrap="square" lIns="27432" tIns="27432" rIns="0" bIns="0" anchor="ctr" upright="1"/>
        <a:lstStyle/>
        <a:p>
          <a:pPr algn="l" rtl="0">
            <a:defRPr sz="1000"/>
          </a:pPr>
          <a:fld id="{C394427D-AAFB-4910-BFD4-26E4AF094E1D}" type="TxLink">
            <a:rPr lang="en-US" sz="1000" b="0" i="0" u="none" strike="noStrike">
              <a:solidFill>
                <a:srgbClr val="000000"/>
              </a:solidFill>
              <a:latin typeface="Arial"/>
              <a:cs typeface="Arial"/>
            </a:rPr>
            <a:pPr algn="l" rtl="0">
              <a:defRPr sz="1000"/>
            </a:pPr>
            <a:t> </a:t>
          </a:fld>
          <a:endParaRPr lang="en-US" sz="1100" b="0" i="0" strike="noStrike" baseline="-25000">
            <a:solidFill>
              <a:srgbClr val="000000"/>
            </a:solidFill>
            <a:latin typeface="Arial" pitchFamily="34" charset="0"/>
            <a:cs typeface="Arial" pitchFamily="34" charset="0"/>
          </a:endParaRPr>
        </a:p>
      </xdr:txBody>
    </xdr:sp>
    <xdr:clientData/>
  </xdr:twoCellAnchor>
  <xdr:twoCellAnchor>
    <xdr:from>
      <xdr:col>19</xdr:col>
      <xdr:colOff>294863</xdr:colOff>
      <xdr:row>20</xdr:row>
      <xdr:rowOff>24818</xdr:rowOff>
    </xdr:from>
    <xdr:to>
      <xdr:col>20</xdr:col>
      <xdr:colOff>200643</xdr:colOff>
      <xdr:row>21</xdr:row>
      <xdr:rowOff>57525</xdr:rowOff>
    </xdr:to>
    <xdr:sp macro="" textlink="'Variable Mgmt'!B233">
      <xdr:nvSpPr>
        <xdr:cNvPr id="44" name="Text Box 268">
          <a:extLst>
            <a:ext uri="{FF2B5EF4-FFF2-40B4-BE49-F238E27FC236}">
              <a16:creationId xmlns:a16="http://schemas.microsoft.com/office/drawing/2014/main" id="{00000000-0008-0000-0000-00002C000000}"/>
            </a:ext>
          </a:extLst>
        </xdr:cNvPr>
        <xdr:cNvSpPr txBox="1">
          <a:spLocks noChangeArrowheads="1" noTextEdit="1"/>
        </xdr:cNvSpPr>
      </xdr:nvSpPr>
      <xdr:spPr bwMode="auto">
        <a:xfrm>
          <a:off x="12143963" y="4444418"/>
          <a:ext cx="515380" cy="232732"/>
        </a:xfrm>
        <a:prstGeom prst="rect">
          <a:avLst/>
        </a:prstGeom>
        <a:noFill/>
        <a:ln w="9525">
          <a:noFill/>
          <a:miter lim="800000"/>
          <a:headEnd/>
          <a:tailEnd/>
        </a:ln>
      </xdr:spPr>
      <xdr:txBody>
        <a:bodyPr vertOverflow="clip" wrap="square" lIns="27432" tIns="22860" rIns="0" bIns="0" anchor="ctr" upright="1"/>
        <a:lstStyle/>
        <a:p>
          <a:pPr algn="l" rtl="0">
            <a:defRPr sz="1000"/>
          </a:pPr>
          <a:fld id="{35437053-6AF1-4CB6-8BC9-CEEF911045AA}" type="TxLink">
            <a:rPr lang="en-US" sz="1100" b="0" i="0" u="none" strike="noStrike">
              <a:solidFill>
                <a:srgbClr val="000000"/>
              </a:solidFill>
              <a:latin typeface="Arial"/>
              <a:cs typeface="Arial"/>
            </a:rPr>
            <a:pPr algn="l" rtl="0">
              <a:defRPr sz="1000"/>
            </a:pPr>
            <a:t> </a:t>
          </a:fld>
          <a:endParaRPr lang="el-GR" sz="1100" b="0" i="0" strike="noStrike">
            <a:solidFill>
              <a:srgbClr val="000000"/>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33</xdr:row>
          <xdr:rowOff>0</xdr:rowOff>
        </xdr:from>
        <xdr:to>
          <xdr:col>5</xdr:col>
          <xdr:colOff>257175</xdr:colOff>
          <xdr:row>33</xdr:row>
          <xdr:rowOff>200025</xdr:rowOff>
        </xdr:to>
        <xdr:sp macro="" textlink="">
          <xdr:nvSpPr>
            <xdr:cNvPr id="673043" name="Drop Down 275" hidden="1">
              <a:extLst>
                <a:ext uri="{63B3BB69-23CF-44E3-9099-C40C66FF867C}">
                  <a14:compatExt spid="_x0000_s673043"/>
                </a:ext>
                <a:ext uri="{FF2B5EF4-FFF2-40B4-BE49-F238E27FC236}">
                  <a16:creationId xmlns:a16="http://schemas.microsoft.com/office/drawing/2014/main" id="{00000000-0008-0000-0000-00001345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355276</xdr:colOff>
      <xdr:row>9</xdr:row>
      <xdr:rowOff>29108</xdr:rowOff>
    </xdr:from>
    <xdr:to>
      <xdr:col>16</xdr:col>
      <xdr:colOff>81051</xdr:colOff>
      <xdr:row>10</xdr:row>
      <xdr:rowOff>59124</xdr:rowOff>
    </xdr:to>
    <xdr:sp macro="" textlink="'Variable Mgmt'!C236">
      <xdr:nvSpPr>
        <xdr:cNvPr id="48" name="Text Box 264">
          <a:extLst>
            <a:ext uri="{FF2B5EF4-FFF2-40B4-BE49-F238E27FC236}">
              <a16:creationId xmlns:a16="http://schemas.microsoft.com/office/drawing/2014/main" id="{00000000-0008-0000-0000-000030000000}"/>
            </a:ext>
          </a:extLst>
        </xdr:cNvPr>
        <xdr:cNvSpPr txBox="1">
          <a:spLocks noChangeArrowheads="1" noTextEdit="1"/>
        </xdr:cNvSpPr>
      </xdr:nvSpPr>
      <xdr:spPr bwMode="auto">
        <a:xfrm>
          <a:off x="9508801" y="2200808"/>
          <a:ext cx="402050" cy="230041"/>
        </a:xfrm>
        <a:prstGeom prst="rect">
          <a:avLst/>
        </a:prstGeom>
        <a:noFill/>
        <a:ln w="9525">
          <a:noFill/>
          <a:miter lim="800000"/>
          <a:headEnd/>
          <a:tailEnd/>
        </a:ln>
      </xdr:spPr>
      <xdr:txBody>
        <a:bodyPr vertOverflow="clip" wrap="square" lIns="27432" tIns="22860" rIns="0" bIns="0" anchor="ctr" upright="1"/>
        <a:lstStyle/>
        <a:p>
          <a:pPr algn="l" rtl="0">
            <a:defRPr sz="1000"/>
          </a:pPr>
          <a:fld id="{31380AD2-7EE8-49DF-ADF3-9022D781233D}" type="TxLink">
            <a:rPr lang="en-US" sz="1000" b="0" i="0" u="none" strike="noStrike" baseline="0">
              <a:solidFill>
                <a:srgbClr val="000000"/>
              </a:solidFill>
              <a:latin typeface="Arial"/>
              <a:cs typeface="Arial"/>
            </a:rPr>
            <a:pPr algn="l" rtl="0">
              <a:defRPr sz="1000"/>
            </a:pPr>
            <a:t>Ruv1</a:t>
          </a:fld>
          <a:endParaRPr lang="el-GR" sz="1000" b="0" i="0" u="none" strike="noStrike" baseline="0">
            <a:solidFill>
              <a:srgbClr val="000000"/>
            </a:solidFill>
            <a:latin typeface="Arial" pitchFamily="34" charset="0"/>
            <a:cs typeface="Arial" pitchFamily="34" charset="0"/>
          </a:endParaRPr>
        </a:p>
      </xdr:txBody>
    </xdr:sp>
    <xdr:clientData/>
  </xdr:twoCellAnchor>
  <xdr:twoCellAnchor>
    <xdr:from>
      <xdr:col>15</xdr:col>
      <xdr:colOff>355276</xdr:colOff>
      <xdr:row>14</xdr:row>
      <xdr:rowOff>23943</xdr:rowOff>
    </xdr:from>
    <xdr:to>
      <xdr:col>16</xdr:col>
      <xdr:colOff>103031</xdr:colOff>
      <xdr:row>14</xdr:row>
      <xdr:rowOff>213188</xdr:rowOff>
    </xdr:to>
    <xdr:sp macro="" textlink="'Variable Mgmt'!D236">
      <xdr:nvSpPr>
        <xdr:cNvPr id="50" name="Text Box 264">
          <a:extLst>
            <a:ext uri="{FF2B5EF4-FFF2-40B4-BE49-F238E27FC236}">
              <a16:creationId xmlns:a16="http://schemas.microsoft.com/office/drawing/2014/main" id="{00000000-0008-0000-0000-000032000000}"/>
            </a:ext>
          </a:extLst>
        </xdr:cNvPr>
        <xdr:cNvSpPr txBox="1">
          <a:spLocks noChangeArrowheads="1" noTextEdit="1"/>
        </xdr:cNvSpPr>
      </xdr:nvSpPr>
      <xdr:spPr bwMode="auto">
        <a:xfrm>
          <a:off x="9508801" y="3195768"/>
          <a:ext cx="424030" cy="189245"/>
        </a:xfrm>
        <a:prstGeom prst="rect">
          <a:avLst/>
        </a:prstGeom>
        <a:noFill/>
        <a:ln w="9525">
          <a:noFill/>
          <a:miter lim="800000"/>
          <a:headEnd/>
          <a:tailEnd/>
        </a:ln>
      </xdr:spPr>
      <xdr:txBody>
        <a:bodyPr vertOverflow="clip" wrap="square" lIns="27432" tIns="22860" rIns="0" bIns="0" anchor="ctr" upright="1"/>
        <a:lstStyle/>
        <a:p>
          <a:pPr algn="l" rtl="0">
            <a:defRPr sz="1000"/>
          </a:pPr>
          <a:fld id="{873432C6-E14A-45C8-BEDA-C8EFF8641C5C}" type="TxLink">
            <a:rPr lang="en-US" sz="1000" b="0" i="0" u="none" strike="noStrike" baseline="0">
              <a:solidFill>
                <a:srgbClr val="000000"/>
              </a:solidFill>
              <a:latin typeface="Arial"/>
              <a:cs typeface="Arial"/>
            </a:rPr>
            <a:pPr algn="l" rtl="0">
              <a:defRPr sz="1000"/>
            </a:pPr>
            <a:t>Ruv2</a:t>
          </a:fld>
          <a:endParaRPr lang="el-GR" sz="1000" b="0" i="0" u="none" strike="noStrike" baseline="0">
            <a:solidFill>
              <a:srgbClr val="000000"/>
            </a:solidFill>
            <a:latin typeface="Arial" pitchFamily="34" charset="0"/>
            <a:cs typeface="Arial" pitchFamily="34" charset="0"/>
          </a:endParaRPr>
        </a:p>
      </xdr:txBody>
    </xdr:sp>
    <xdr:clientData/>
  </xdr:twoCellAnchor>
  <xdr:twoCellAnchor>
    <xdr:from>
      <xdr:col>15</xdr:col>
      <xdr:colOff>305571</xdr:colOff>
      <xdr:row>19</xdr:row>
      <xdr:rowOff>153969</xdr:rowOff>
    </xdr:from>
    <xdr:to>
      <xdr:col>16</xdr:col>
      <xdr:colOff>73264</xdr:colOff>
      <xdr:row>21</xdr:row>
      <xdr:rowOff>95474</xdr:rowOff>
    </xdr:to>
    <xdr:sp macro="" textlink="'Variable Mgmt'!C246">
      <xdr:nvSpPr>
        <xdr:cNvPr id="49" name="Text Box 281">
          <a:extLst>
            <a:ext uri="{FF2B5EF4-FFF2-40B4-BE49-F238E27FC236}">
              <a16:creationId xmlns:a16="http://schemas.microsoft.com/office/drawing/2014/main" id="{00000000-0008-0000-0000-000031000000}"/>
            </a:ext>
          </a:extLst>
        </xdr:cNvPr>
        <xdr:cNvSpPr txBox="1">
          <a:spLocks noChangeArrowheads="1" noTextEdit="1"/>
        </xdr:cNvSpPr>
      </xdr:nvSpPr>
      <xdr:spPr bwMode="auto">
        <a:xfrm>
          <a:off x="9459096" y="4373544"/>
          <a:ext cx="443968" cy="341555"/>
        </a:xfrm>
        <a:prstGeom prst="rect">
          <a:avLst/>
        </a:prstGeom>
        <a:noFill/>
        <a:ln w="9525">
          <a:noFill/>
          <a:miter lim="800000"/>
          <a:headEnd/>
          <a:tailEnd/>
        </a:ln>
      </xdr:spPr>
      <xdr:txBody>
        <a:bodyPr vertOverflow="clip" wrap="square" lIns="27432" tIns="22860" rIns="0" bIns="0" anchor="ctr" upright="1"/>
        <a:lstStyle/>
        <a:p>
          <a:pPr algn="l" rtl="0">
            <a:defRPr sz="1000"/>
          </a:pPr>
          <a:fld id="{B81C36CF-66FD-4734-B04F-DAE82AF849A9}" type="TxLink">
            <a:rPr lang="en-US" sz="1100" b="0" i="0" u="none" strike="noStrike">
              <a:solidFill>
                <a:srgbClr val="000000"/>
              </a:solidFill>
              <a:latin typeface="Arial"/>
              <a:cs typeface="Arial"/>
            </a:rPr>
            <a:pPr algn="l" rtl="0">
              <a:defRPr sz="1000"/>
            </a:pPr>
            <a:t> </a:t>
          </a:fld>
          <a:endParaRPr lang="en-US" sz="1100" b="0" i="0" strike="noStrike">
            <a:solidFill>
              <a:srgbClr val="000000"/>
            </a:solidFill>
            <a:latin typeface="Arial" pitchFamily="34" charset="0"/>
            <a:cs typeface="Arial" pitchFamily="34" charset="0"/>
          </a:endParaRPr>
        </a:p>
      </xdr:txBody>
    </xdr:sp>
    <xdr:clientData/>
  </xdr:twoCellAnchor>
  <xdr:twoCellAnchor editAs="oneCell">
    <xdr:from>
      <xdr:col>0</xdr:col>
      <xdr:colOff>78143</xdr:colOff>
      <xdr:row>0</xdr:row>
      <xdr:rowOff>32845</xdr:rowOff>
    </xdr:from>
    <xdr:to>
      <xdr:col>3</xdr:col>
      <xdr:colOff>351439</xdr:colOff>
      <xdr:row>0</xdr:row>
      <xdr:rowOff>571501</xdr:rowOff>
    </xdr:to>
    <xdr:pic macro="[0]!OpenLM27403ProductFolder">
      <xdr:nvPicPr>
        <xdr:cNvPr id="4" name="Picture 3">
          <a:hlinkClick xmlns:r="http://schemas.openxmlformats.org/officeDocument/2006/relationships" r:id="rId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896" b="8304"/>
        <a:stretch/>
      </xdr:blipFill>
      <xdr:spPr>
        <a:xfrm>
          <a:off x="78143" y="32845"/>
          <a:ext cx="2283071" cy="538656"/>
        </a:xfrm>
        <a:prstGeom prst="rect">
          <a:avLst/>
        </a:prstGeom>
      </xdr:spPr>
    </xdr:pic>
    <xdr:clientData/>
  </xdr:twoCellAnchor>
  <xdr:twoCellAnchor editAs="oneCell">
    <xdr:from>
      <xdr:col>21</xdr:col>
      <xdr:colOff>400381</xdr:colOff>
      <xdr:row>0</xdr:row>
      <xdr:rowOff>123825</xdr:rowOff>
    </xdr:from>
    <xdr:to>
      <xdr:col>23</xdr:col>
      <xdr:colOff>432054</xdr:colOff>
      <xdr:row>3</xdr:row>
      <xdr:rowOff>123825</xdr:rowOff>
    </xdr:to>
    <xdr:pic macro="[0]!OpenLM27403ProductFolder">
      <xdr:nvPicPr>
        <xdr:cNvPr id="53" name="Picture 52">
          <a:hlinkClick xmlns:r="http://schemas.openxmlformats.org/officeDocument/2006/relationships" r:id="rId5"/>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478456" y="123825"/>
          <a:ext cx="1250873" cy="971550"/>
        </a:xfrm>
        <a:prstGeom prst="rect">
          <a:avLst/>
        </a:prstGeom>
      </xdr:spPr>
    </xdr:pic>
    <xdr:clientData/>
  </xdr:twoCellAnchor>
  <xdr:twoCellAnchor editAs="oneCell">
    <xdr:from>
      <xdr:col>23</xdr:col>
      <xdr:colOff>514350</xdr:colOff>
      <xdr:row>0</xdr:row>
      <xdr:rowOff>117830</xdr:rowOff>
    </xdr:from>
    <xdr:to>
      <xdr:col>25</xdr:col>
      <xdr:colOff>542193</xdr:colOff>
      <xdr:row>3</xdr:row>
      <xdr:rowOff>120958</xdr:rowOff>
    </xdr:to>
    <xdr:pic macro="[0]!OpenLM27403ProductFolder">
      <xdr:nvPicPr>
        <xdr:cNvPr id="54" name="Picture 53">
          <a:hlinkClick xmlns:r="http://schemas.openxmlformats.org/officeDocument/2006/relationships" r:id="rId7"/>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6787446" y="117830"/>
          <a:ext cx="1244112" cy="97028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9525</xdr:colOff>
          <xdr:row>11</xdr:row>
          <xdr:rowOff>0</xdr:rowOff>
        </xdr:from>
        <xdr:to>
          <xdr:col>12</xdr:col>
          <xdr:colOff>66675</xdr:colOff>
          <xdr:row>12</xdr:row>
          <xdr:rowOff>9525</xdr:rowOff>
        </xdr:to>
        <xdr:sp macro="" textlink="">
          <xdr:nvSpPr>
            <xdr:cNvPr id="697343" name="Drop Down 3071" hidden="1">
              <a:extLst>
                <a:ext uri="{63B3BB69-23CF-44E3-9099-C40C66FF867C}">
                  <a14:compatExt spid="_x0000_s697343"/>
                </a:ext>
                <a:ext uri="{FF2B5EF4-FFF2-40B4-BE49-F238E27FC236}">
                  <a16:creationId xmlns:a16="http://schemas.microsoft.com/office/drawing/2014/main" id="{00000000-0008-0000-0000-0000FFA3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19</xdr:col>
      <xdr:colOff>348376</xdr:colOff>
      <xdr:row>14</xdr:row>
      <xdr:rowOff>69974</xdr:rowOff>
    </xdr:from>
    <xdr:to>
      <xdr:col>20</xdr:col>
      <xdr:colOff>61616</xdr:colOff>
      <xdr:row>15</xdr:row>
      <xdr:rowOff>61702</xdr:rowOff>
    </xdr:to>
    <xdr:sp macro="" textlink="">
      <xdr:nvSpPr>
        <xdr:cNvPr id="57" name="Text Box 244">
          <a:extLst>
            <a:ext uri="{FF2B5EF4-FFF2-40B4-BE49-F238E27FC236}">
              <a16:creationId xmlns:a16="http://schemas.microsoft.com/office/drawing/2014/main" id="{00000000-0008-0000-0000-000039000000}"/>
            </a:ext>
          </a:extLst>
        </xdr:cNvPr>
        <xdr:cNvSpPr txBox="1">
          <a:spLocks noChangeArrowheads="1"/>
        </xdr:cNvSpPr>
      </xdr:nvSpPr>
      <xdr:spPr bwMode="auto">
        <a:xfrm>
          <a:off x="12197476" y="3241799"/>
          <a:ext cx="322840" cy="239378"/>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R</a:t>
          </a:r>
          <a:r>
            <a:rPr lang="en-US" sz="1100" b="0" i="0" strike="noStrike" baseline="-25000">
              <a:solidFill>
                <a:srgbClr val="000000"/>
              </a:solidFill>
              <a:latin typeface="Arial" pitchFamily="34" charset="0"/>
              <a:cs typeface="Arial" pitchFamily="34" charset="0"/>
            </a:rPr>
            <a:t>FB</a:t>
          </a:r>
        </a:p>
      </xdr:txBody>
    </xdr:sp>
    <xdr:clientData/>
  </xdr:twoCellAnchor>
  <xdr:twoCellAnchor>
    <xdr:from>
      <xdr:col>20</xdr:col>
      <xdr:colOff>374043</xdr:colOff>
      <xdr:row>19</xdr:row>
      <xdr:rowOff>1514</xdr:rowOff>
    </xdr:from>
    <xdr:to>
      <xdr:col>21</xdr:col>
      <xdr:colOff>148739</xdr:colOff>
      <xdr:row>20</xdr:row>
      <xdr:rowOff>34871</xdr:rowOff>
    </xdr:to>
    <xdr:sp macro="" textlink="">
      <xdr:nvSpPr>
        <xdr:cNvPr id="58" name="Text Box 244">
          <a:extLst>
            <a:ext uri="{FF2B5EF4-FFF2-40B4-BE49-F238E27FC236}">
              <a16:creationId xmlns:a16="http://schemas.microsoft.com/office/drawing/2014/main" id="{00000000-0008-0000-0000-00003A000000}"/>
            </a:ext>
          </a:extLst>
        </xdr:cNvPr>
        <xdr:cNvSpPr txBox="1">
          <a:spLocks noChangeArrowheads="1"/>
        </xdr:cNvSpPr>
      </xdr:nvSpPr>
      <xdr:spPr bwMode="auto">
        <a:xfrm>
          <a:off x="12832743" y="4221089"/>
          <a:ext cx="384296" cy="233382"/>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R</a:t>
          </a:r>
          <a:r>
            <a:rPr lang="en-US" sz="1100" b="0" i="0" strike="noStrike" baseline="-25000">
              <a:solidFill>
                <a:srgbClr val="000000"/>
              </a:solidFill>
              <a:latin typeface="Arial" pitchFamily="34" charset="0"/>
              <a:cs typeface="Arial" pitchFamily="34" charset="0"/>
            </a:rPr>
            <a:t>SET</a:t>
          </a:r>
        </a:p>
      </xdr:txBody>
    </xdr:sp>
    <xdr:clientData/>
  </xdr:twoCellAnchor>
  <xdr:twoCellAnchor>
    <xdr:from>
      <xdr:col>18</xdr:col>
      <xdr:colOff>548052</xdr:colOff>
      <xdr:row>8</xdr:row>
      <xdr:rowOff>15972</xdr:rowOff>
    </xdr:from>
    <xdr:to>
      <xdr:col>19</xdr:col>
      <xdr:colOff>346548</xdr:colOff>
      <xdr:row>9</xdr:row>
      <xdr:rowOff>76319</xdr:rowOff>
    </xdr:to>
    <xdr:sp macro="" textlink="">
      <xdr:nvSpPr>
        <xdr:cNvPr id="60" name="Text Box 235">
          <a:extLst>
            <a:ext uri="{FF2B5EF4-FFF2-40B4-BE49-F238E27FC236}">
              <a16:creationId xmlns:a16="http://schemas.microsoft.com/office/drawing/2014/main" id="{00000000-0008-0000-0000-00003C000000}"/>
            </a:ext>
          </a:extLst>
        </xdr:cNvPr>
        <xdr:cNvSpPr txBox="1">
          <a:spLocks noChangeArrowheads="1"/>
        </xdr:cNvSpPr>
      </xdr:nvSpPr>
      <xdr:spPr bwMode="auto">
        <a:xfrm>
          <a:off x="11730402" y="1987647"/>
          <a:ext cx="465246" cy="260372"/>
        </a:xfrm>
        <a:prstGeom prst="rect">
          <a:avLst/>
        </a:prstGeom>
        <a:noFill/>
        <a:ln w="9525">
          <a:noFill/>
          <a:miter lim="800000"/>
          <a:headEnd/>
          <a:tailEnd/>
        </a:ln>
      </xdr:spPr>
      <xdr:txBody>
        <a:bodyPr vertOverflow="clip" wrap="square" lIns="27432" tIns="27432" rIns="0" bIns="0" anchor="ctr" upright="1"/>
        <a:lstStyle/>
        <a:p>
          <a:pPr algn="l" rtl="0">
            <a:defRPr sz="1000"/>
          </a:pPr>
          <a:r>
            <a:rPr lang="en-US" sz="1100" b="0" i="0" strike="noStrike">
              <a:solidFill>
                <a:srgbClr val="000000"/>
              </a:solidFill>
              <a:latin typeface="Arial" pitchFamily="34" charset="0"/>
              <a:cs typeface="Arial" pitchFamily="34" charset="0"/>
            </a:rPr>
            <a:t>D</a:t>
          </a:r>
          <a:r>
            <a:rPr lang="en-US" sz="1100" b="0" i="0" strike="noStrike" baseline="-25000">
              <a:solidFill>
                <a:srgbClr val="000000"/>
              </a:solidFill>
              <a:latin typeface="Arial" pitchFamily="34" charset="0"/>
              <a:cs typeface="Arial" pitchFamily="34" charset="0"/>
            </a:rPr>
            <a:t>CLAMP</a:t>
          </a:r>
        </a:p>
      </xdr:txBody>
    </xdr:sp>
    <xdr:clientData/>
  </xdr:twoCellAnchor>
  <xdr:twoCellAnchor>
    <xdr:from>
      <xdr:col>19</xdr:col>
      <xdr:colOff>164558</xdr:colOff>
      <xdr:row>11</xdr:row>
      <xdr:rowOff>69250</xdr:rowOff>
    </xdr:from>
    <xdr:to>
      <xdr:col>19</xdr:col>
      <xdr:colOff>436580</xdr:colOff>
      <xdr:row>12</xdr:row>
      <xdr:rowOff>119548</xdr:rowOff>
    </xdr:to>
    <xdr:sp macro="" textlink="">
      <xdr:nvSpPr>
        <xdr:cNvPr id="61" name="Text Box 235">
          <a:extLst>
            <a:ext uri="{FF2B5EF4-FFF2-40B4-BE49-F238E27FC236}">
              <a16:creationId xmlns:a16="http://schemas.microsoft.com/office/drawing/2014/main" id="{00000000-0008-0000-0000-00003D000000}"/>
            </a:ext>
          </a:extLst>
        </xdr:cNvPr>
        <xdr:cNvSpPr txBox="1">
          <a:spLocks noChangeArrowheads="1"/>
        </xdr:cNvSpPr>
      </xdr:nvSpPr>
      <xdr:spPr bwMode="auto">
        <a:xfrm>
          <a:off x="12013658" y="2641000"/>
          <a:ext cx="272022" cy="250323"/>
        </a:xfrm>
        <a:prstGeom prst="rect">
          <a:avLst/>
        </a:prstGeom>
        <a:noFill/>
        <a:ln w="9525">
          <a:noFill/>
          <a:miter lim="800000"/>
          <a:headEnd/>
          <a:tailEnd/>
        </a:ln>
      </xdr:spPr>
      <xdr:txBody>
        <a:bodyPr vertOverflow="clip" wrap="square" lIns="27432" tIns="27432" rIns="0" bIns="0" anchor="ctr" upright="1"/>
        <a:lstStyle/>
        <a:p>
          <a:pPr algn="l" rtl="0">
            <a:defRPr sz="1000"/>
          </a:pPr>
          <a:r>
            <a:rPr lang="en-US" sz="1100" b="0" i="0" strike="noStrike">
              <a:solidFill>
                <a:srgbClr val="000000"/>
              </a:solidFill>
              <a:latin typeface="Arial" pitchFamily="34" charset="0"/>
              <a:cs typeface="Arial" pitchFamily="34" charset="0"/>
            </a:rPr>
            <a:t>D</a:t>
          </a:r>
          <a:r>
            <a:rPr lang="en-US" sz="1100" b="0" i="0" strike="noStrike" baseline="-25000">
              <a:solidFill>
                <a:srgbClr val="000000"/>
              </a:solidFill>
              <a:latin typeface="Arial" pitchFamily="34" charset="0"/>
              <a:cs typeface="Arial" pitchFamily="34" charset="0"/>
            </a:rPr>
            <a:t>F</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5</xdr:col>
          <xdr:colOff>266700</xdr:colOff>
          <xdr:row>31</xdr:row>
          <xdr:rowOff>9525</xdr:rowOff>
        </xdr:to>
        <xdr:sp macro="" textlink="">
          <xdr:nvSpPr>
            <xdr:cNvPr id="714798" name="Drop Down 3118" hidden="1">
              <a:extLst>
                <a:ext uri="{63B3BB69-23CF-44E3-9099-C40C66FF867C}">
                  <a14:compatExt spid="_x0000_s714798"/>
                </a:ext>
                <a:ext uri="{FF2B5EF4-FFF2-40B4-BE49-F238E27FC236}">
                  <a16:creationId xmlns:a16="http://schemas.microsoft.com/office/drawing/2014/main" id="{00000000-0008-0000-0000-00002EE8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20</xdr:col>
      <xdr:colOff>304800</xdr:colOff>
      <xdr:row>10</xdr:row>
      <xdr:rowOff>191738</xdr:rowOff>
    </xdr:from>
    <xdr:to>
      <xdr:col>21</xdr:col>
      <xdr:colOff>447675</xdr:colOff>
      <xdr:row>12</xdr:row>
      <xdr:rowOff>38100</xdr:rowOff>
    </xdr:to>
    <xdr:sp macro="" textlink="'Variable Mgmt'!B201">
      <xdr:nvSpPr>
        <xdr:cNvPr id="62" name="Text Box 265">
          <a:extLst>
            <a:ext uri="{FF2B5EF4-FFF2-40B4-BE49-F238E27FC236}">
              <a16:creationId xmlns:a16="http://schemas.microsoft.com/office/drawing/2014/main" id="{00000000-0008-0000-0000-00003E000000}"/>
            </a:ext>
          </a:extLst>
        </xdr:cNvPr>
        <xdr:cNvSpPr txBox="1">
          <a:spLocks noChangeArrowheads="1" noTextEdit="1"/>
        </xdr:cNvSpPr>
      </xdr:nvSpPr>
      <xdr:spPr bwMode="auto">
        <a:xfrm>
          <a:off x="12763500" y="2563463"/>
          <a:ext cx="752475" cy="246412"/>
        </a:xfrm>
        <a:prstGeom prst="rect">
          <a:avLst/>
        </a:prstGeom>
        <a:noFill/>
        <a:ln w="9525">
          <a:noFill/>
          <a:miter lim="800000"/>
          <a:headEnd/>
          <a:tailEnd/>
        </a:ln>
      </xdr:spPr>
      <xdr:txBody>
        <a:bodyPr vertOverflow="clip" wrap="square" lIns="27432" tIns="22860" rIns="0" bIns="0" anchor="t" upright="1"/>
        <a:lstStyle/>
        <a:p>
          <a:pPr algn="ctr" rtl="0">
            <a:defRPr sz="1000"/>
          </a:pPr>
          <a:fld id="{4DF3E085-FEDD-406F-9003-D894075812A3}" type="TxLink">
            <a:rPr lang="en-US" sz="1000" b="0" i="0" u="none" strike="noStrike" baseline="0">
              <a:solidFill>
                <a:srgbClr val="000000"/>
              </a:solidFill>
              <a:latin typeface="Arial"/>
              <a:cs typeface="Arial"/>
            </a:rPr>
            <a:pPr algn="ctr" rtl="0">
              <a:defRPr sz="1000"/>
            </a:pPr>
            <a:t>2 : 1</a:t>
          </a:fld>
          <a:endParaRPr lang="el-GR" sz="1200" b="0" i="0" u="none" strike="noStrike" baseline="0">
            <a:solidFill>
              <a:srgbClr val="000000"/>
            </a:solidFill>
            <a:latin typeface="Arial" pitchFamily="34" charset="0"/>
            <a:cs typeface="Arial" pitchFamily="34" charset="0"/>
          </a:endParaRPr>
        </a:p>
      </xdr:txBody>
    </xdr:sp>
    <xdr:clientData/>
  </xdr:twoCellAnchor>
  <xdr:twoCellAnchor>
    <xdr:from>
      <xdr:col>25</xdr:col>
      <xdr:colOff>571500</xdr:colOff>
      <xdr:row>27</xdr:row>
      <xdr:rowOff>113959</xdr:rowOff>
    </xdr:from>
    <xdr:to>
      <xdr:col>25</xdr:col>
      <xdr:colOff>1049263</xdr:colOff>
      <xdr:row>29</xdr:row>
      <xdr:rowOff>12359</xdr:rowOff>
    </xdr:to>
    <xdr:sp macro="" textlink="'Variable Mgmt'!$B$254">
      <xdr:nvSpPr>
        <xdr:cNvPr id="56" name="Text Box 24">
          <a:extLst>
            <a:ext uri="{FF2B5EF4-FFF2-40B4-BE49-F238E27FC236}">
              <a16:creationId xmlns:a16="http://schemas.microsoft.com/office/drawing/2014/main" id="{00000000-0008-0000-0000-000038000000}"/>
            </a:ext>
          </a:extLst>
        </xdr:cNvPr>
        <xdr:cNvSpPr txBox="1">
          <a:spLocks noChangeArrowheads="1" noTextEdit="1"/>
        </xdr:cNvSpPr>
      </xdr:nvSpPr>
      <xdr:spPr bwMode="auto">
        <a:xfrm>
          <a:off x="16078200" y="5962309"/>
          <a:ext cx="477763" cy="279400"/>
        </a:xfrm>
        <a:prstGeom prst="rect">
          <a:avLst/>
        </a:prstGeom>
        <a:noFill/>
        <a:ln w="9525">
          <a:noFill/>
          <a:miter lim="800000"/>
          <a:headEnd/>
          <a:tailEnd/>
        </a:ln>
      </xdr:spPr>
      <xdr:txBody>
        <a:bodyPr wrap="square" lIns="27432" tIns="22860" rIns="0"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fld id="{1F0AFB1C-0795-4024-9821-D34D86340D40}" type="TxLink">
            <a:rPr lang="en-US" sz="1000" b="0" i="0" u="none" strike="noStrike" baseline="0">
              <a:solidFill>
                <a:srgbClr val="000000"/>
              </a:solidFill>
              <a:latin typeface="Arial"/>
              <a:cs typeface="Arial"/>
            </a:rPr>
            <a:pPr algn="l" rtl="0">
              <a:defRPr sz="1000"/>
            </a:pPr>
            <a:t>93.4%</a:t>
          </a:fld>
          <a:endParaRPr lang="en-US" sz="1000" b="1" i="0" u="none" strike="noStrike" baseline="0">
            <a:solidFill>
              <a:srgbClr val="000000"/>
            </a:solidFill>
            <a:latin typeface="Arial" pitchFamily="34" charset="0"/>
            <a:cs typeface="Arial" pitchFamily="34" charset="0"/>
          </a:endParaRPr>
        </a:p>
      </xdr:txBody>
    </xdr:sp>
    <xdr:clientData/>
  </xdr:twoCellAnchor>
  <xdr:twoCellAnchor>
    <xdr:from>
      <xdr:col>24</xdr:col>
      <xdr:colOff>38389</xdr:colOff>
      <xdr:row>13</xdr:row>
      <xdr:rowOff>88799</xdr:rowOff>
    </xdr:from>
    <xdr:to>
      <xdr:col>25</xdr:col>
      <xdr:colOff>93822</xdr:colOff>
      <xdr:row>14</xdr:row>
      <xdr:rowOff>236764</xdr:rowOff>
    </xdr:to>
    <xdr:sp macro="" textlink="'Variable Mgmt'!B209">
      <xdr:nvSpPr>
        <xdr:cNvPr id="42" name="Text Box 285">
          <a:extLst>
            <a:ext uri="{FF2B5EF4-FFF2-40B4-BE49-F238E27FC236}">
              <a16:creationId xmlns:a16="http://schemas.microsoft.com/office/drawing/2014/main" id="{00000000-0008-0000-0000-00002A000000}"/>
            </a:ext>
          </a:extLst>
        </xdr:cNvPr>
        <xdr:cNvSpPr txBox="1">
          <a:spLocks noChangeArrowheads="1" noTextEdit="1"/>
        </xdr:cNvSpPr>
      </xdr:nvSpPr>
      <xdr:spPr bwMode="auto">
        <a:xfrm>
          <a:off x="14935489" y="3060599"/>
          <a:ext cx="665033" cy="347990"/>
        </a:xfrm>
        <a:prstGeom prst="rect">
          <a:avLst/>
        </a:prstGeom>
        <a:noFill/>
        <a:ln w="9525">
          <a:noFill/>
          <a:miter lim="800000"/>
          <a:headEnd/>
          <a:tailEnd/>
        </a:ln>
      </xdr:spPr>
      <xdr:txBody>
        <a:bodyPr vertOverflow="clip" wrap="square" lIns="27432" tIns="22860" rIns="0" bIns="0" anchor="ctr" upright="1"/>
        <a:lstStyle/>
        <a:p>
          <a:pPr algn="l" rtl="0">
            <a:defRPr sz="1000"/>
          </a:pPr>
          <a:fld id="{1EB32AF4-7354-4114-B6DF-5AD8FEB0166D}" type="TxLink">
            <a:rPr lang="en-US" sz="1350" b="1" i="0" u="none" strike="noStrike" baseline="0">
              <a:solidFill>
                <a:srgbClr val="FF0000"/>
              </a:solidFill>
              <a:latin typeface="Arial"/>
              <a:cs typeface="Arial"/>
            </a:rPr>
            <a:pPr algn="l" rtl="0">
              <a:defRPr sz="1000"/>
            </a:pPr>
            <a:t> </a:t>
          </a:fld>
          <a:endParaRPr lang="en-US" sz="1350" b="1" i="0" u="none" strike="noStrike" baseline="0">
            <a:solidFill>
              <a:srgbClr val="FF0000"/>
            </a:solidFill>
            <a:latin typeface="Arial" pitchFamily="34" charset="0"/>
            <a:cs typeface="Arial" pitchFamily="34" charset="0"/>
          </a:endParaRPr>
        </a:p>
      </xdr:txBody>
    </xdr:sp>
    <xdr:clientData/>
  </xdr:twoCellAnchor>
  <xdr:twoCellAnchor>
    <xdr:from>
      <xdr:col>23</xdr:col>
      <xdr:colOff>418167</xdr:colOff>
      <xdr:row>14</xdr:row>
      <xdr:rowOff>147867</xdr:rowOff>
    </xdr:from>
    <xdr:to>
      <xdr:col>24</xdr:col>
      <xdr:colOff>561280</xdr:colOff>
      <xdr:row>15</xdr:row>
      <xdr:rowOff>199064</xdr:rowOff>
    </xdr:to>
    <xdr:sp macro="" textlink="'Variable Mgmt'!B264">
      <xdr:nvSpPr>
        <xdr:cNvPr id="46" name="Text Box 286">
          <a:extLst>
            <a:ext uri="{FF2B5EF4-FFF2-40B4-BE49-F238E27FC236}">
              <a16:creationId xmlns:a16="http://schemas.microsoft.com/office/drawing/2014/main" id="{00000000-0008-0000-0000-00002E000000}"/>
            </a:ext>
          </a:extLst>
        </xdr:cNvPr>
        <xdr:cNvSpPr txBox="1">
          <a:spLocks noChangeArrowheads="1" noTextEdit="1"/>
        </xdr:cNvSpPr>
      </xdr:nvSpPr>
      <xdr:spPr bwMode="auto">
        <a:xfrm>
          <a:off x="14705667" y="3319692"/>
          <a:ext cx="752713" cy="298847"/>
        </a:xfrm>
        <a:prstGeom prst="rect">
          <a:avLst/>
        </a:prstGeom>
        <a:noFill/>
        <a:ln w="9525">
          <a:noFill/>
          <a:miter lim="800000"/>
          <a:headEnd/>
          <a:tailEnd/>
        </a:ln>
      </xdr:spPr>
      <xdr:txBody>
        <a:bodyPr vertOverflow="clip" wrap="square" lIns="27432" tIns="22860" rIns="0" bIns="0" anchor="ctr" upright="1"/>
        <a:lstStyle/>
        <a:p>
          <a:pPr algn="ctr" rtl="0">
            <a:defRPr sz="1000"/>
          </a:pPr>
          <a:fld id="{F430775D-5566-4B2B-9D86-4FABD1E02F13}" type="TxLink">
            <a:rPr lang="en-US" sz="1350" b="1" i="0" u="none" strike="noStrike">
              <a:solidFill>
                <a:srgbClr val="FF0000"/>
              </a:solidFill>
              <a:latin typeface="Arial"/>
              <a:cs typeface="Arial"/>
            </a:rPr>
            <a:pPr algn="ctr" rtl="0">
              <a:defRPr sz="1000"/>
            </a:pPr>
            <a:t> </a:t>
          </a:fld>
          <a:endParaRPr lang="en-US" sz="1350" b="1" i="0" strike="noStrike">
            <a:solidFill>
              <a:srgbClr val="FF0000"/>
            </a:solidFill>
            <a:latin typeface="Arial" pitchFamily="34" charset="0"/>
            <a:cs typeface="Arial" pitchFamily="34" charset="0"/>
          </a:endParaRPr>
        </a:p>
      </xdr:txBody>
    </xdr:sp>
    <xdr:clientData/>
  </xdr:twoCellAnchor>
  <xdr:twoCellAnchor>
    <xdr:from>
      <xdr:col>24</xdr:col>
      <xdr:colOff>289</xdr:colOff>
      <xdr:row>15</xdr:row>
      <xdr:rowOff>128260</xdr:rowOff>
    </xdr:from>
    <xdr:to>
      <xdr:col>25</xdr:col>
      <xdr:colOff>55722</xdr:colOff>
      <xdr:row>17</xdr:row>
      <xdr:rowOff>74839</xdr:rowOff>
    </xdr:to>
    <xdr:sp macro="" textlink="'Variable Mgmt'!B210">
      <xdr:nvSpPr>
        <xdr:cNvPr id="47" name="Text Box 285">
          <a:extLst>
            <a:ext uri="{FF2B5EF4-FFF2-40B4-BE49-F238E27FC236}">
              <a16:creationId xmlns:a16="http://schemas.microsoft.com/office/drawing/2014/main" id="{00000000-0008-0000-0000-00002F000000}"/>
            </a:ext>
          </a:extLst>
        </xdr:cNvPr>
        <xdr:cNvSpPr txBox="1">
          <a:spLocks noChangeArrowheads="1" noTextEdit="1"/>
        </xdr:cNvSpPr>
      </xdr:nvSpPr>
      <xdr:spPr bwMode="auto">
        <a:xfrm>
          <a:off x="14897389" y="3547735"/>
          <a:ext cx="665033" cy="346629"/>
        </a:xfrm>
        <a:prstGeom prst="rect">
          <a:avLst/>
        </a:prstGeom>
        <a:noFill/>
        <a:ln w="9525">
          <a:noFill/>
          <a:miter lim="800000"/>
          <a:headEnd/>
          <a:tailEnd/>
        </a:ln>
      </xdr:spPr>
      <xdr:txBody>
        <a:bodyPr vertOverflow="clip" wrap="square" lIns="27432" tIns="22860" rIns="0" bIns="0" anchor="ctr" upright="1"/>
        <a:lstStyle/>
        <a:p>
          <a:pPr algn="l" rtl="0">
            <a:defRPr sz="1000"/>
          </a:pPr>
          <a:fld id="{6CC6AC32-C574-4CE6-AE26-39476DAD0777}" type="TxLink">
            <a:rPr lang="en-US" sz="1350" b="1" i="0" u="none" strike="noStrike" baseline="0">
              <a:solidFill>
                <a:srgbClr val="FF0000"/>
              </a:solidFill>
              <a:latin typeface="Arial"/>
              <a:cs typeface="Arial"/>
            </a:rPr>
            <a:pPr algn="l" rtl="0">
              <a:defRPr sz="1000"/>
            </a:pPr>
            <a:t> </a:t>
          </a:fld>
          <a:endParaRPr lang="en-US" sz="1350" b="1" i="0" u="none" strike="noStrike" baseline="0">
            <a:solidFill>
              <a:srgbClr val="FF0000"/>
            </a:solidFill>
            <a:latin typeface="Arial" pitchFamily="34" charset="0"/>
            <a:cs typeface="Arial" pitchFamily="34" charset="0"/>
          </a:endParaRPr>
        </a:p>
      </xdr:txBody>
    </xdr:sp>
    <xdr:clientData/>
  </xdr:twoCellAnchor>
  <xdr:twoCellAnchor>
    <xdr:from>
      <xdr:col>23</xdr:col>
      <xdr:colOff>437217</xdr:colOff>
      <xdr:row>16</xdr:row>
      <xdr:rowOff>190049</xdr:rowOff>
    </xdr:from>
    <xdr:to>
      <xdr:col>24</xdr:col>
      <xdr:colOff>580330</xdr:colOff>
      <xdr:row>18</xdr:row>
      <xdr:rowOff>90207</xdr:rowOff>
    </xdr:to>
    <xdr:sp macro="" textlink="'Variable Mgmt'!B265">
      <xdr:nvSpPr>
        <xdr:cNvPr id="51" name="Text Box 286">
          <a:extLst>
            <a:ext uri="{FF2B5EF4-FFF2-40B4-BE49-F238E27FC236}">
              <a16:creationId xmlns:a16="http://schemas.microsoft.com/office/drawing/2014/main" id="{00000000-0008-0000-0000-000033000000}"/>
            </a:ext>
          </a:extLst>
        </xdr:cNvPr>
        <xdr:cNvSpPr txBox="1">
          <a:spLocks noChangeArrowheads="1" noTextEdit="1"/>
        </xdr:cNvSpPr>
      </xdr:nvSpPr>
      <xdr:spPr bwMode="auto">
        <a:xfrm>
          <a:off x="14724717" y="3809549"/>
          <a:ext cx="752713" cy="300208"/>
        </a:xfrm>
        <a:prstGeom prst="rect">
          <a:avLst/>
        </a:prstGeom>
        <a:noFill/>
        <a:ln w="9525">
          <a:noFill/>
          <a:miter lim="800000"/>
          <a:headEnd/>
          <a:tailEnd/>
        </a:ln>
      </xdr:spPr>
      <xdr:txBody>
        <a:bodyPr vertOverflow="clip" wrap="square" lIns="27432" tIns="22860" rIns="0" bIns="0" anchor="ctr" upright="1"/>
        <a:lstStyle/>
        <a:p>
          <a:pPr algn="ctr" rtl="0">
            <a:defRPr sz="1000"/>
          </a:pPr>
          <a:fld id="{21AE0BE5-7426-43AE-A5A8-768A4DEE6C58}" type="TxLink">
            <a:rPr lang="en-US" sz="1350" b="1" i="0" u="none" strike="noStrike">
              <a:solidFill>
                <a:srgbClr val="FF0000"/>
              </a:solidFill>
              <a:latin typeface="Arial"/>
              <a:cs typeface="Arial"/>
            </a:rPr>
            <a:pPr algn="ctr" rtl="0">
              <a:defRPr sz="1000"/>
            </a:pPr>
            <a:t> </a:t>
          </a:fld>
          <a:endParaRPr lang="en-US" sz="1350" b="1" i="0" strike="noStrike">
            <a:solidFill>
              <a:srgbClr val="FF0000"/>
            </a:solidFill>
            <a:latin typeface="Arial" pitchFamily="34" charset="0"/>
            <a:cs typeface="Arial" pitchFamily="34" charset="0"/>
          </a:endParaRPr>
        </a:p>
      </xdr:txBody>
    </xdr:sp>
    <xdr:clientData/>
  </xdr:twoCellAnchor>
  <xdr:twoCellAnchor>
    <xdr:from>
      <xdr:col>23</xdr:col>
      <xdr:colOff>132557</xdr:colOff>
      <xdr:row>14</xdr:row>
      <xdr:rowOff>179147</xdr:rowOff>
    </xdr:from>
    <xdr:to>
      <xdr:col>24</xdr:col>
      <xdr:colOff>16035</xdr:colOff>
      <xdr:row>15</xdr:row>
      <xdr:rowOff>105137</xdr:rowOff>
    </xdr:to>
    <xdr:sp macro="" textlink="'Variable Mgmt'!D213">
      <xdr:nvSpPr>
        <xdr:cNvPr id="55" name="Text Box 267">
          <a:extLst>
            <a:ext uri="{FF2B5EF4-FFF2-40B4-BE49-F238E27FC236}">
              <a16:creationId xmlns:a16="http://schemas.microsoft.com/office/drawing/2014/main" id="{00000000-0008-0000-0000-000037000000}"/>
            </a:ext>
          </a:extLst>
        </xdr:cNvPr>
        <xdr:cNvSpPr txBox="1">
          <a:spLocks noChangeArrowheads="1" noTextEdit="1"/>
        </xdr:cNvSpPr>
      </xdr:nvSpPr>
      <xdr:spPr bwMode="auto">
        <a:xfrm>
          <a:off x="14420057" y="3350972"/>
          <a:ext cx="493078" cy="173640"/>
        </a:xfrm>
        <a:prstGeom prst="rect">
          <a:avLst/>
        </a:prstGeom>
        <a:noFill/>
        <a:ln w="9525">
          <a:noFill/>
          <a:miter lim="800000"/>
          <a:headEnd/>
          <a:tailEnd/>
        </a:ln>
      </xdr:spPr>
      <xdr:txBody>
        <a:bodyPr vertOverflow="clip" wrap="square" lIns="27432" tIns="22860" rIns="0" bIns="0" anchor="ctr" upright="1"/>
        <a:lstStyle/>
        <a:p>
          <a:pPr algn="l" rtl="0">
            <a:defRPr sz="1000"/>
          </a:pPr>
          <a:fld id="{2B13305E-FBF9-43A5-B29E-67B7B248F534}" type="TxLink">
            <a:rPr lang="en-US" sz="1000" b="0" i="0" u="none" strike="noStrike" baseline="0">
              <a:solidFill>
                <a:srgbClr val="000000"/>
              </a:solidFill>
              <a:latin typeface="Arial"/>
              <a:cs typeface="Arial"/>
            </a:rPr>
            <a:pPr algn="l" rtl="0">
              <a:defRPr sz="1000"/>
            </a:pPr>
            <a:t> </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23</xdr:col>
      <xdr:colOff>132557</xdr:colOff>
      <xdr:row>16</xdr:row>
      <xdr:rowOff>141047</xdr:rowOff>
    </xdr:from>
    <xdr:to>
      <xdr:col>24</xdr:col>
      <xdr:colOff>16035</xdr:colOff>
      <xdr:row>17</xdr:row>
      <xdr:rowOff>124187</xdr:rowOff>
    </xdr:to>
    <xdr:sp macro="" textlink="'Variable Mgmt'!C213">
      <xdr:nvSpPr>
        <xdr:cNvPr id="67" name="Text Box 267">
          <a:extLst>
            <a:ext uri="{FF2B5EF4-FFF2-40B4-BE49-F238E27FC236}">
              <a16:creationId xmlns:a16="http://schemas.microsoft.com/office/drawing/2014/main" id="{00000000-0008-0000-0000-000043000000}"/>
            </a:ext>
          </a:extLst>
        </xdr:cNvPr>
        <xdr:cNvSpPr txBox="1">
          <a:spLocks noChangeArrowheads="1" noTextEdit="1"/>
        </xdr:cNvSpPr>
      </xdr:nvSpPr>
      <xdr:spPr bwMode="auto">
        <a:xfrm>
          <a:off x="14420057" y="3760547"/>
          <a:ext cx="493078" cy="183165"/>
        </a:xfrm>
        <a:prstGeom prst="rect">
          <a:avLst/>
        </a:prstGeom>
        <a:noFill/>
        <a:ln w="9525">
          <a:noFill/>
          <a:miter lim="800000"/>
          <a:headEnd/>
          <a:tailEnd/>
        </a:ln>
      </xdr:spPr>
      <xdr:txBody>
        <a:bodyPr vertOverflow="clip" wrap="square" lIns="27432" tIns="22860" rIns="0" bIns="0" anchor="ctr" upright="1"/>
        <a:lstStyle/>
        <a:p>
          <a:pPr algn="l" rtl="0">
            <a:defRPr sz="1000"/>
          </a:pPr>
          <a:fld id="{EB8BEA1C-AFA8-40F4-BE4F-A41F4D085390}" type="TxLink">
            <a:rPr lang="en-US" sz="1100" b="0" i="0" u="none" strike="noStrike" baseline="0">
              <a:solidFill>
                <a:srgbClr val="000000"/>
              </a:solidFill>
              <a:latin typeface="Arial"/>
              <a:cs typeface="Arial"/>
            </a:rPr>
            <a:pPr algn="l" rtl="0">
              <a:defRPr sz="1000"/>
            </a:pPr>
            <a:t> </a:t>
          </a:fld>
          <a:endParaRPr lang="en-US" sz="1400" b="0" i="0" u="none" strike="noStrike" baseline="0">
            <a:solidFill>
              <a:srgbClr val="000000"/>
            </a:solidFill>
            <a:latin typeface="Arial" pitchFamily="34" charset="0"/>
            <a:cs typeface="Arial" pitchFamily="34" charset="0"/>
          </a:endParaRPr>
        </a:p>
      </xdr:txBody>
    </xdr:sp>
    <xdr:clientData/>
  </xdr:twoCellAnchor>
  <xdr:twoCellAnchor>
    <xdr:from>
      <xdr:col>20</xdr:col>
      <xdr:colOff>461791</xdr:colOff>
      <xdr:row>5</xdr:row>
      <xdr:rowOff>140393</xdr:rowOff>
    </xdr:from>
    <xdr:to>
      <xdr:col>21</xdr:col>
      <xdr:colOff>172310</xdr:colOff>
      <xdr:row>7</xdr:row>
      <xdr:rowOff>7039</xdr:rowOff>
    </xdr:to>
    <xdr:sp macro="" textlink="">
      <xdr:nvSpPr>
        <xdr:cNvPr id="52" name="Text Box 244">
          <a:extLst>
            <a:ext uri="{FF2B5EF4-FFF2-40B4-BE49-F238E27FC236}">
              <a16:creationId xmlns:a16="http://schemas.microsoft.com/office/drawing/2014/main" id="{00000000-0008-0000-0000-000034000000}"/>
            </a:ext>
          </a:extLst>
        </xdr:cNvPr>
        <xdr:cNvSpPr txBox="1">
          <a:spLocks noChangeArrowheads="1"/>
        </xdr:cNvSpPr>
      </xdr:nvSpPr>
      <xdr:spPr bwMode="auto">
        <a:xfrm>
          <a:off x="12920491" y="1531043"/>
          <a:ext cx="320119" cy="247646"/>
        </a:xfrm>
        <a:prstGeom prst="rect">
          <a:avLst/>
        </a:prstGeom>
        <a:noFill/>
        <a:ln w="9525">
          <a:noFill/>
          <a:miter lim="800000"/>
          <a:headEnd/>
          <a:tailEnd/>
        </a:ln>
      </xdr:spPr>
      <xdr:txBody>
        <a:bodyPr vertOverflow="clip" wrap="square" lIns="27432" tIns="27432" rIns="0" bIns="0" anchor="t" upright="1"/>
        <a:lstStyle/>
        <a:p>
          <a:pPr algn="ctr" rtl="0">
            <a:defRPr sz="1000"/>
          </a:pPr>
          <a:r>
            <a:rPr lang="en-US" sz="1100" b="0" i="0" strike="noStrike">
              <a:solidFill>
                <a:srgbClr val="000000"/>
              </a:solidFill>
              <a:latin typeface="Arial" pitchFamily="34" charset="0"/>
              <a:cs typeface="Arial" pitchFamily="34" charset="0"/>
            </a:rPr>
            <a:t>T</a:t>
          </a:r>
          <a:r>
            <a:rPr lang="en-US" sz="1100" b="0" i="0" strike="noStrike" baseline="-25000">
              <a:solidFill>
                <a:srgbClr val="000000"/>
              </a:solidFill>
              <a:latin typeface="Arial" pitchFamily="34" charset="0"/>
              <a:cs typeface="Arial" pitchFamily="34" charset="0"/>
            </a:rPr>
            <a:t>1</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7</xdr:row>
          <xdr:rowOff>190500</xdr:rowOff>
        </xdr:from>
        <xdr:to>
          <xdr:col>5</xdr:col>
          <xdr:colOff>76200</xdr:colOff>
          <xdr:row>8</xdr:row>
          <xdr:rowOff>190500</xdr:rowOff>
        </xdr:to>
        <xdr:sp macro="" textlink="">
          <xdr:nvSpPr>
            <xdr:cNvPr id="715085" name="Drop Down 3405" hidden="1">
              <a:extLst>
                <a:ext uri="{63B3BB69-23CF-44E3-9099-C40C66FF867C}">
                  <a14:compatExt spid="_x0000_s715085"/>
                </a:ext>
                <a:ext uri="{FF2B5EF4-FFF2-40B4-BE49-F238E27FC236}">
                  <a16:creationId xmlns:a16="http://schemas.microsoft.com/office/drawing/2014/main" id="{00000000-0008-0000-0000-00004DE9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24</xdr:row>
          <xdr:rowOff>247649</xdr:rowOff>
        </xdr:from>
        <xdr:to>
          <xdr:col>17</xdr:col>
          <xdr:colOff>141358</xdr:colOff>
          <xdr:row>45</xdr:row>
          <xdr:rowOff>104774</xdr:rowOff>
        </xdr:to>
        <xdr:pic>
          <xdr:nvPicPr>
            <xdr:cNvPr id="65" name="Picture 8888">
              <a:extLst>
                <a:ext uri="{FF2B5EF4-FFF2-40B4-BE49-F238E27FC236}">
                  <a16:creationId xmlns:a16="http://schemas.microsoft.com/office/drawing/2014/main" id="{00000000-0008-0000-0000-000041000000}"/>
                </a:ext>
              </a:extLst>
            </xdr:cNvPr>
            <xdr:cNvPicPr>
              <a:picLocks noChangeAspect="1" noChangeArrowheads="1"/>
              <a:extLst>
                <a:ext uri="{84589F7E-364E-4C9E-8A38-B11213B215E9}">
                  <a14:cameraTool cellRange="PICTURE2" spid="_x0000_s736597"/>
                </a:ext>
              </a:extLst>
            </xdr:cNvPicPr>
          </xdr:nvPicPr>
          <xdr:blipFill>
            <a:blip xmlns:r="http://schemas.openxmlformats.org/officeDocument/2006/relationships" r:embed="rId9"/>
            <a:srcRect/>
            <a:stretch>
              <a:fillRect/>
            </a:stretch>
          </xdr:blipFill>
          <xdr:spPr bwMode="auto">
            <a:xfrm>
              <a:off x="3962400" y="5448299"/>
              <a:ext cx="6685033" cy="4124325"/>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twoCellAnchor>
    <xdr:from>
      <xdr:col>17</xdr:col>
      <xdr:colOff>38100</xdr:colOff>
      <xdr:row>14</xdr:row>
      <xdr:rowOff>152400</xdr:rowOff>
    </xdr:from>
    <xdr:to>
      <xdr:col>18</xdr:col>
      <xdr:colOff>333375</xdr:colOff>
      <xdr:row>16</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bwMode="auto">
        <a:xfrm>
          <a:off x="10544175" y="3324225"/>
          <a:ext cx="971550" cy="295275"/>
        </a:xfrm>
        <a:prstGeom prst="rect">
          <a:avLst/>
        </a:prstGeom>
        <a:solidFill>
          <a:srgbClr val="CCFFFF"/>
        </a:solidFill>
        <a:ln w="9525">
          <a:noFill/>
          <a:miter lim="800000"/>
          <a:headEnd/>
          <a:tailEnd/>
        </a:ln>
      </xdr:spPr>
      <xdr:txBody>
        <a:bodyPr vertOverflow="clip" horzOverflow="clip" wrap="square" lIns="27432" tIns="27432" rIns="0" bIns="0" rtlCol="0" anchor="t" upright="1"/>
        <a:lstStyle/>
        <a:p>
          <a:pPr algn="ctr" rtl="0"/>
          <a:r>
            <a:rPr lang="en-US" sz="1400" b="1" i="0" strike="noStrike">
              <a:solidFill>
                <a:srgbClr val="FF0000"/>
              </a:solidFill>
              <a:latin typeface="Arial" panose="020B0604020202020204" pitchFamily="34" charset="0"/>
              <a:cs typeface="Arial" panose="020B0604020202020204" pitchFamily="34" charset="0"/>
            </a:rPr>
            <a:t>LM25180</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0.16877</cdr:x>
      <cdr:y>0.12917</cdr:y>
    </cdr:from>
    <cdr:to>
      <cdr:x>0.23482</cdr:x>
      <cdr:y>0.16636</cdr:y>
    </cdr:to>
    <cdr:sp macro="" textlink="'Variable Mgmt'!$B$256">
      <cdr:nvSpPr>
        <cdr:cNvPr id="2" name="Text Box 24"/>
        <cdr:cNvSpPr txBox="1">
          <a:spLocks xmlns:a="http://schemas.openxmlformats.org/drawingml/2006/main" noChangeArrowheads="1" noTextEdit="1"/>
        </cdr:cNvSpPr>
      </cdr:nvSpPr>
      <cdr:spPr bwMode="auto">
        <a:xfrm xmlns:a="http://schemas.openxmlformats.org/drawingml/2006/main">
          <a:off x="1403360" y="665601"/>
          <a:ext cx="549265" cy="1916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22860" anchor="b"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FB7B9190-533F-41A0-B9F6-41424F4E3D27}" type="TxLink">
            <a:rPr lang="en-US" sz="1100" b="0" i="0" u="none" strike="noStrike" baseline="0">
              <a:solidFill>
                <a:srgbClr val="000000"/>
              </a:solidFill>
              <a:latin typeface="Arial"/>
              <a:cs typeface="Arial"/>
            </a:rPr>
            <a:pPr algn="l" rtl="0">
              <a:defRPr sz="1000"/>
            </a:pPr>
            <a:t>88%</a:t>
          </a:fld>
          <a:endParaRPr lang="en-US" sz="1100" b="1" i="0" u="none" strike="noStrike" baseline="0">
            <a:solidFill>
              <a:srgbClr val="000000"/>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3</xdr:col>
      <xdr:colOff>38100</xdr:colOff>
      <xdr:row>6</xdr:row>
      <xdr:rowOff>819150</xdr:rowOff>
    </xdr:from>
    <xdr:to>
      <xdr:col>3</xdr:col>
      <xdr:colOff>561974</xdr:colOff>
      <xdr:row>6</xdr:row>
      <xdr:rowOff>1019175</xdr:rowOff>
    </xdr:to>
    <xdr:sp macro="" textlink="'Variable Mgmt'!$B$254">
      <xdr:nvSpPr>
        <xdr:cNvPr id="5" name="Text Box 24">
          <a:extLst>
            <a:ext uri="{FF2B5EF4-FFF2-40B4-BE49-F238E27FC236}">
              <a16:creationId xmlns:a16="http://schemas.microsoft.com/office/drawing/2014/main" id="{00000000-0008-0000-0800-000005000000}"/>
            </a:ext>
          </a:extLst>
        </xdr:cNvPr>
        <xdr:cNvSpPr txBox="1">
          <a:spLocks noChangeArrowheads="1" noTextEdit="1"/>
        </xdr:cNvSpPr>
      </xdr:nvSpPr>
      <xdr:spPr bwMode="auto">
        <a:xfrm>
          <a:off x="9686925" y="6934200"/>
          <a:ext cx="523874" cy="200025"/>
        </a:xfrm>
        <a:prstGeom prst="rect">
          <a:avLst/>
        </a:prstGeom>
        <a:solidFill>
          <a:schemeClr val="bg1"/>
        </a:solidFill>
        <a:ln w="9525">
          <a:noFill/>
          <a:miter lim="800000"/>
          <a:headEnd/>
          <a:tailEnd/>
        </a:ln>
      </xdr:spPr>
      <xdr:txBody>
        <a:bodyPr wrap="square" lIns="27432" tIns="22860" rIns="0" bIns="22860" anchor="b"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r" rtl="0">
            <a:defRPr sz="1000"/>
          </a:pPr>
          <a:fld id="{1F0AFB1C-0795-4024-9821-D34D86340D40}" type="TxLink">
            <a:rPr lang="en-US" sz="1100" b="0" i="0" u="none" strike="noStrike" baseline="0">
              <a:solidFill>
                <a:srgbClr val="000000"/>
              </a:solidFill>
              <a:latin typeface="Arial"/>
              <a:cs typeface="Arial"/>
            </a:rPr>
            <a:pPr algn="r" rtl="0">
              <a:defRPr sz="1000"/>
            </a:pPr>
            <a:t>93.4%</a:t>
          </a:fld>
          <a:endParaRPr lang="en-US" sz="1100" b="1" i="0" u="none" strike="noStrike" baseline="0">
            <a:solidFill>
              <a:srgbClr val="000000"/>
            </a:solidFill>
            <a:latin typeface="Arial" pitchFamily="34" charset="0"/>
            <a:cs typeface="Arial" pitchFamily="34" charset="0"/>
          </a:endParaRPr>
        </a:p>
      </xdr:txBody>
    </xdr:sp>
    <xdr:clientData/>
  </xdr:twoCellAnchor>
  <xdr:twoCellAnchor>
    <xdr:from>
      <xdr:col>3</xdr:col>
      <xdr:colOff>19050</xdr:colOff>
      <xdr:row>4</xdr:row>
      <xdr:rowOff>704850</xdr:rowOff>
    </xdr:from>
    <xdr:to>
      <xdr:col>3</xdr:col>
      <xdr:colOff>542924</xdr:colOff>
      <xdr:row>4</xdr:row>
      <xdr:rowOff>904875</xdr:rowOff>
    </xdr:to>
    <xdr:sp macro="" textlink="'Variable Mgmt'!$B$254">
      <xdr:nvSpPr>
        <xdr:cNvPr id="6" name="Text Box 24">
          <a:extLst>
            <a:ext uri="{FF2B5EF4-FFF2-40B4-BE49-F238E27FC236}">
              <a16:creationId xmlns:a16="http://schemas.microsoft.com/office/drawing/2014/main" id="{00000000-0008-0000-0800-000006000000}"/>
            </a:ext>
          </a:extLst>
        </xdr:cNvPr>
        <xdr:cNvSpPr txBox="1">
          <a:spLocks noChangeArrowheads="1" noTextEdit="1"/>
        </xdr:cNvSpPr>
      </xdr:nvSpPr>
      <xdr:spPr bwMode="auto">
        <a:xfrm>
          <a:off x="9667875" y="1409700"/>
          <a:ext cx="523874" cy="200025"/>
        </a:xfrm>
        <a:prstGeom prst="rect">
          <a:avLst/>
        </a:prstGeom>
        <a:noFill/>
        <a:ln w="9525">
          <a:noFill/>
          <a:miter lim="800000"/>
          <a:headEnd/>
          <a:tailEnd/>
        </a:ln>
      </xdr:spPr>
      <xdr:txBody>
        <a:bodyPr wrap="square" lIns="27432" tIns="22860" rIns="0" bIns="22860" anchor="b"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r" rtl="0">
            <a:defRPr sz="1000"/>
          </a:pPr>
          <a:fld id="{1F0AFB1C-0795-4024-9821-D34D86340D40}" type="TxLink">
            <a:rPr lang="en-US" sz="1100" b="0" i="0" u="none" strike="noStrike" baseline="0">
              <a:solidFill>
                <a:srgbClr val="000000"/>
              </a:solidFill>
              <a:latin typeface="Arial"/>
              <a:cs typeface="Arial"/>
            </a:rPr>
            <a:pPr algn="r" rtl="0">
              <a:defRPr sz="1000"/>
            </a:pPr>
            <a:t>93.4%</a:t>
          </a:fld>
          <a:endParaRPr lang="en-US" sz="1100" b="1" i="0" u="none" strike="noStrike" baseline="0">
            <a:solidFill>
              <a:srgbClr val="000000"/>
            </a:solidFill>
            <a:latin typeface="Arial" pitchFamily="34" charset="0"/>
            <a:cs typeface="Arial" pitchFamily="34" charset="0"/>
          </a:endParaRPr>
        </a:p>
      </xdr:txBody>
    </xdr:sp>
    <xdr:clientData/>
  </xdr:twoCellAnchor>
  <xdr:twoCellAnchor>
    <xdr:from>
      <xdr:col>1</xdr:col>
      <xdr:colOff>1</xdr:colOff>
      <xdr:row>4</xdr:row>
      <xdr:rowOff>0</xdr:rowOff>
    </xdr:from>
    <xdr:to>
      <xdr:col>1</xdr:col>
      <xdr:colOff>8275321</xdr:colOff>
      <xdr:row>4</xdr:row>
      <xdr:rowOff>5029200</xdr:rowOff>
    </xdr:to>
    <xdr:graphicFrame macro="">
      <xdr:nvGraphicFramePr>
        <xdr:cNvPr id="8" name="Chart 253">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6</xdr:row>
      <xdr:rowOff>0</xdr:rowOff>
    </xdr:from>
    <xdr:to>
      <xdr:col>1</xdr:col>
      <xdr:colOff>8275320</xdr:colOff>
      <xdr:row>6</xdr:row>
      <xdr:rowOff>5029200</xdr:rowOff>
    </xdr:to>
    <xdr:graphicFrame macro="">
      <xdr:nvGraphicFramePr>
        <xdr:cNvPr id="7" name="Chart 253">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16</xdr:col>
          <xdr:colOff>18166</xdr:colOff>
          <xdr:row>4</xdr:row>
          <xdr:rowOff>4138092</xdr:rowOff>
        </xdr:to>
        <xdr:pic>
          <xdr:nvPicPr>
            <xdr:cNvPr id="9" name="Picture 8888">
              <a:extLst>
                <a:ext uri="{FF2B5EF4-FFF2-40B4-BE49-F238E27FC236}">
                  <a16:creationId xmlns:a16="http://schemas.microsoft.com/office/drawing/2014/main" id="{00000000-0008-0000-0800-000009000000}"/>
                </a:ext>
              </a:extLst>
            </xdr:cNvPr>
            <xdr:cNvPicPr>
              <a:picLocks noChangeAspect="1" noChangeArrowheads="1"/>
              <a:extLst>
                <a:ext uri="{84589F7E-364E-4C9E-8A38-B11213B215E9}">
                  <a14:cameraTool cellRange="PICTURE3" spid="_x0000_s729399"/>
                </a:ext>
              </a:extLst>
            </xdr:cNvPicPr>
          </xdr:nvPicPr>
          <xdr:blipFill>
            <a:blip xmlns:r="http://schemas.openxmlformats.org/officeDocument/2006/relationships" r:embed="rId3"/>
            <a:srcRect/>
            <a:stretch>
              <a:fillRect/>
            </a:stretch>
          </xdr:blipFill>
          <xdr:spPr bwMode="auto">
            <a:xfrm>
              <a:off x="10868025" y="704850"/>
              <a:ext cx="6723766" cy="4138092"/>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18</xdr:col>
          <xdr:colOff>504825</xdr:colOff>
          <xdr:row>5</xdr:row>
          <xdr:rowOff>0</xdr:rowOff>
        </xdr:to>
        <xdr:pic>
          <xdr:nvPicPr>
            <xdr:cNvPr id="6" name="Picture 8888">
              <a:extLst>
                <a:ext uri="{FF2B5EF4-FFF2-40B4-BE49-F238E27FC236}">
                  <a16:creationId xmlns:a16="http://schemas.microsoft.com/office/drawing/2014/main" id="{00000000-0008-0000-0900-000006000000}"/>
                </a:ext>
              </a:extLst>
            </xdr:cNvPr>
            <xdr:cNvPicPr>
              <a:picLocks noChangeAspect="1" noChangeArrowheads="1"/>
              <a:extLst>
                <a:ext uri="{84589F7E-364E-4C9E-8A38-B11213B215E9}">
                  <a14:cameraTool cellRange="PICTURE2" spid="_x0000_s733494"/>
                </a:ext>
              </a:extLst>
            </xdr:cNvPicPr>
          </xdr:nvPicPr>
          <xdr:blipFill>
            <a:blip xmlns:r="http://schemas.openxmlformats.org/officeDocument/2006/relationships" r:embed="rId1"/>
            <a:srcRect/>
            <a:stretch>
              <a:fillRect/>
            </a:stretch>
          </xdr:blipFill>
          <xdr:spPr bwMode="auto">
            <a:xfrm>
              <a:off x="10868025" y="704850"/>
              <a:ext cx="8429625" cy="5200650"/>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twoCellAnchor>
    <xdr:from>
      <xdr:col>1</xdr:col>
      <xdr:colOff>1</xdr:colOff>
      <xdr:row>4</xdr:row>
      <xdr:rowOff>0</xdr:rowOff>
    </xdr:from>
    <xdr:to>
      <xdr:col>1</xdr:col>
      <xdr:colOff>8275321</xdr:colOff>
      <xdr:row>4</xdr:row>
      <xdr:rowOff>5029200</xdr:rowOff>
    </xdr:to>
    <xdr:graphicFrame macro="">
      <xdr:nvGraphicFramePr>
        <xdr:cNvPr id="7" name="Chart 253">
          <a:extLst>
            <a:ext uri="{FF2B5EF4-FFF2-40B4-BE49-F238E27FC236}">
              <a16:creationId xmlns:a16="http://schemas.microsoft.com/office/drawing/2014/main" id="{00000000-0008-0000-09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6</xdr:row>
      <xdr:rowOff>19049</xdr:rowOff>
    </xdr:from>
    <xdr:to>
      <xdr:col>1</xdr:col>
      <xdr:colOff>8277225</xdr:colOff>
      <xdr:row>6</xdr:row>
      <xdr:rowOff>5048249</xdr:rowOff>
    </xdr:to>
    <xdr:graphicFrame macro="">
      <xdr:nvGraphicFramePr>
        <xdr:cNvPr id="8" name="Chart 253">
          <a:extLst>
            <a:ext uri="{FF2B5EF4-FFF2-40B4-BE49-F238E27FC236}">
              <a16:creationId xmlns:a16="http://schemas.microsoft.com/office/drawing/2014/main" id="{00000000-0008-0000-09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752475</xdr:colOff>
      <xdr:row>30</xdr:row>
      <xdr:rowOff>85725</xdr:rowOff>
    </xdr:from>
    <xdr:to>
      <xdr:col>15</xdr:col>
      <xdr:colOff>1200150</xdr:colOff>
      <xdr:row>31</xdr:row>
      <xdr:rowOff>133350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16906875" y="13973175"/>
          <a:ext cx="0" cy="2190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FF"/>
              </a:solidFill>
              <a:latin typeface="Arial"/>
              <a:cs typeface="Arial"/>
            </a:rPr>
            <a:t>V</a:t>
          </a:r>
          <a:r>
            <a:rPr lang="en-US" sz="1000" b="1" i="0" strike="noStrike" baseline="-25000">
              <a:solidFill>
                <a:srgbClr val="0000FF"/>
              </a:solidFill>
              <a:latin typeface="Arial"/>
              <a:cs typeface="Arial"/>
            </a:rPr>
            <a:t>OUT</a:t>
          </a:r>
        </a:p>
      </xdr:txBody>
    </xdr:sp>
    <xdr:clientData/>
  </xdr:twoCellAnchor>
  <xdr:twoCellAnchor>
    <xdr:from>
      <xdr:col>15</xdr:col>
      <xdr:colOff>752475</xdr:colOff>
      <xdr:row>31</xdr:row>
      <xdr:rowOff>104775</xdr:rowOff>
    </xdr:from>
    <xdr:to>
      <xdr:col>15</xdr:col>
      <xdr:colOff>1181100</xdr:colOff>
      <xdr:row>32</xdr:row>
      <xdr:rowOff>152400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noTextEdit="1"/>
        </xdr:cNvSpPr>
      </xdr:nvSpPr>
      <xdr:spPr bwMode="auto">
        <a:xfrm>
          <a:off x="16906875" y="14163675"/>
          <a:ext cx="0" cy="219075"/>
        </a:xfrm>
        <a:prstGeom prst="rect">
          <a:avLst/>
        </a:prstGeom>
        <a:noFill/>
        <a:ln w="9525">
          <a:noFill/>
          <a:miter lim="800000"/>
          <a:headEnd/>
          <a:tailEnd/>
        </a:ln>
      </xdr:spPr>
      <xdr:txBody>
        <a:bodyPr vertOverflow="clip" wrap="square" lIns="27432" tIns="22860" rIns="0" bIns="0" anchor="t" upright="1"/>
        <a:lstStyle/>
        <a:p>
          <a:pPr algn="l" rtl="0">
            <a:defRPr sz="1000"/>
          </a:pPr>
          <a:fld id="{0F8B8801-C5EA-4FBD-95F5-162EB7ADACC8}" type="TxLink">
            <a:rPr lang="en-US" sz="1000" b="1" i="0" u="none" strike="noStrike">
              <a:solidFill>
                <a:srgbClr val="0000FF"/>
              </a:solidFill>
              <a:latin typeface="Arial"/>
              <a:cs typeface="Arial"/>
            </a:rPr>
            <a:pPr algn="l" rtl="0">
              <a:defRPr sz="1000"/>
            </a:pPr>
            <a:t>1.2V</a:t>
          </a:fld>
          <a:endParaRPr lang="en-US" sz="1000" b="1" i="0" strike="noStrike">
            <a:solidFill>
              <a:srgbClr val="0000FF"/>
            </a:solidFill>
            <a:latin typeface="Arial"/>
            <a:cs typeface="Arial"/>
          </a:endParaRPr>
        </a:p>
      </xdr:txBody>
    </xdr:sp>
    <xdr:clientData/>
  </xdr:twoCellAnchor>
  <xdr:twoCellAnchor>
    <xdr:from>
      <xdr:col>16</xdr:col>
      <xdr:colOff>0</xdr:colOff>
      <xdr:row>34</xdr:row>
      <xdr:rowOff>142875</xdr:rowOff>
    </xdr:from>
    <xdr:to>
      <xdr:col>16</xdr:col>
      <xdr:colOff>0</xdr:colOff>
      <xdr:row>36</xdr:row>
      <xdr:rowOff>152400</xdr:rowOff>
    </xdr:to>
    <xdr:grpSp>
      <xdr:nvGrpSpPr>
        <xdr:cNvPr id="5" name="Group 25">
          <a:extLst>
            <a:ext uri="{FF2B5EF4-FFF2-40B4-BE49-F238E27FC236}">
              <a16:creationId xmlns:a16="http://schemas.microsoft.com/office/drawing/2014/main" id="{00000000-0008-0000-0A00-000005000000}"/>
            </a:ext>
          </a:extLst>
        </xdr:cNvPr>
        <xdr:cNvGrpSpPr>
          <a:grpSpLocks/>
        </xdr:cNvGrpSpPr>
      </xdr:nvGrpSpPr>
      <xdr:grpSpPr bwMode="auto">
        <a:xfrm>
          <a:off x="33108900" y="65131950"/>
          <a:ext cx="0" cy="4333875"/>
          <a:chOff x="953" y="747"/>
          <a:chExt cx="76" cy="41"/>
        </a:xfrm>
      </xdr:grpSpPr>
      <xdr:sp macro="" textlink="">
        <xdr:nvSpPr>
          <xdr:cNvPr id="6" name="Text Box 26">
            <a:extLst>
              <a:ext uri="{FF2B5EF4-FFF2-40B4-BE49-F238E27FC236}">
                <a16:creationId xmlns:a16="http://schemas.microsoft.com/office/drawing/2014/main" id="{00000000-0008-0000-0A00-000006000000}"/>
              </a:ext>
            </a:extLst>
          </xdr:cNvPr>
          <xdr:cNvSpPr txBox="1">
            <a:spLocks noChangeArrowheads="1"/>
          </xdr:cNvSpPr>
        </xdr:nvSpPr>
        <xdr:spPr bwMode="auto">
          <a:xfrm>
            <a:off x="16906875" y="-6462072205698"/>
            <a:ext cx="0" cy="2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FF"/>
                </a:solidFill>
                <a:latin typeface="Arial"/>
                <a:cs typeface="Arial"/>
              </a:rPr>
              <a:t>C</a:t>
            </a:r>
            <a:r>
              <a:rPr lang="en-US" sz="1000" b="1" i="0" strike="noStrike" baseline="-25000">
                <a:solidFill>
                  <a:srgbClr val="0000FF"/>
                </a:solidFill>
                <a:latin typeface="Arial"/>
                <a:cs typeface="Arial"/>
              </a:rPr>
              <a:t>OUT</a:t>
            </a:r>
          </a:p>
        </xdr:txBody>
      </xdr:sp>
      <xdr:sp macro="" textlink="">
        <xdr:nvSpPr>
          <xdr:cNvPr id="7" name="Text Box 27">
            <a:extLst>
              <a:ext uri="{FF2B5EF4-FFF2-40B4-BE49-F238E27FC236}">
                <a16:creationId xmlns:a16="http://schemas.microsoft.com/office/drawing/2014/main" id="{00000000-0008-0000-0A00-000007000000}"/>
              </a:ext>
            </a:extLst>
          </xdr:cNvPr>
          <xdr:cNvSpPr txBox="1">
            <a:spLocks noChangeArrowheads="1" noTextEdit="1"/>
          </xdr:cNvSpPr>
        </xdr:nvSpPr>
        <xdr:spPr bwMode="auto">
          <a:xfrm>
            <a:off x="16906875" y="-11225863852848"/>
            <a:ext cx="0" cy="21"/>
          </a:xfrm>
          <a:prstGeom prst="rect">
            <a:avLst/>
          </a:prstGeom>
          <a:noFill/>
          <a:ln w="9525">
            <a:noFill/>
            <a:miter lim="800000"/>
            <a:headEnd/>
            <a:tailEnd/>
          </a:ln>
        </xdr:spPr>
        <xdr:txBody>
          <a:bodyPr vertOverflow="clip" wrap="square" lIns="27432" tIns="22860" rIns="0" bIns="0" anchor="t" upright="1"/>
          <a:lstStyle/>
          <a:p>
            <a:pPr algn="l" rtl="0">
              <a:defRPr sz="1000"/>
            </a:pPr>
            <a:fld id="{FA2B5858-D1A0-4A0D-80A7-2946C710A8EC}" type="TxLink">
              <a:rPr lang="en-US" sz="1000" b="1" i="0" u="none" strike="noStrike">
                <a:solidFill>
                  <a:srgbClr val="0000FF"/>
                </a:solidFill>
                <a:latin typeface="Arial"/>
                <a:cs typeface="Arial"/>
              </a:rPr>
              <a:pPr algn="l" rtl="0">
                <a:defRPr sz="1000"/>
              </a:pPr>
              <a:t>140µF</a:t>
            </a:fld>
            <a:endParaRPr lang="en-US" sz="1000" b="1" i="0" strike="noStrike">
              <a:solidFill>
                <a:srgbClr val="0000FF"/>
              </a:solidFill>
              <a:latin typeface="Arial"/>
              <a:cs typeface="Arial"/>
            </a:endParaRPr>
          </a:p>
        </xdr:txBody>
      </xdr:sp>
    </xdr:grpSp>
    <xdr:clientData/>
  </xdr:twoCellAnchor>
  <xdr:twoCellAnchor editAs="oneCell">
    <xdr:from>
      <xdr:col>3</xdr:col>
      <xdr:colOff>609599</xdr:colOff>
      <xdr:row>6</xdr:row>
      <xdr:rowOff>0</xdr:rowOff>
    </xdr:from>
    <xdr:to>
      <xdr:col>4</xdr:col>
      <xdr:colOff>8229599</xdr:colOff>
      <xdr:row>6</xdr:row>
      <xdr:rowOff>4480726</xdr:rowOff>
    </xdr:to>
    <xdr:pic>
      <xdr:nvPicPr>
        <xdr:cNvPr id="82" name="Picture 8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49" y="102870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609599</xdr:colOff>
      <xdr:row>6</xdr:row>
      <xdr:rowOff>0</xdr:rowOff>
    </xdr:from>
    <xdr:to>
      <xdr:col>7</xdr:col>
      <xdr:colOff>8229599</xdr:colOff>
      <xdr:row>6</xdr:row>
      <xdr:rowOff>4480726</xdr:rowOff>
    </xdr:to>
    <xdr:pic>
      <xdr:nvPicPr>
        <xdr:cNvPr id="84" name="Picture 83">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916774" y="102870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847724</xdr:colOff>
      <xdr:row>8</xdr:row>
      <xdr:rowOff>0</xdr:rowOff>
    </xdr:from>
    <xdr:to>
      <xdr:col>1</xdr:col>
      <xdr:colOff>8229599</xdr:colOff>
      <xdr:row>8</xdr:row>
      <xdr:rowOff>4480726</xdr:rowOff>
    </xdr:to>
    <xdr:pic>
      <xdr:nvPicPr>
        <xdr:cNvPr id="51" name="Picture 50">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7724" y="5781675"/>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847724</xdr:colOff>
      <xdr:row>10</xdr:row>
      <xdr:rowOff>0</xdr:rowOff>
    </xdr:from>
    <xdr:to>
      <xdr:col>1</xdr:col>
      <xdr:colOff>8229599</xdr:colOff>
      <xdr:row>10</xdr:row>
      <xdr:rowOff>4480726</xdr:rowOff>
    </xdr:to>
    <xdr:pic>
      <xdr:nvPicPr>
        <xdr:cNvPr id="52" name="Picture 5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47724" y="1057275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12</xdr:row>
      <xdr:rowOff>0</xdr:rowOff>
    </xdr:from>
    <xdr:to>
      <xdr:col>1</xdr:col>
      <xdr:colOff>8229599</xdr:colOff>
      <xdr:row>12</xdr:row>
      <xdr:rowOff>4480726</xdr:rowOff>
    </xdr:to>
    <xdr:pic>
      <xdr:nvPicPr>
        <xdr:cNvPr id="53" name="Picture 52">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43642" y="15267214"/>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14</xdr:row>
      <xdr:rowOff>-1</xdr:rowOff>
    </xdr:from>
    <xdr:to>
      <xdr:col>1</xdr:col>
      <xdr:colOff>8229599</xdr:colOff>
      <xdr:row>14</xdr:row>
      <xdr:rowOff>4480725</xdr:rowOff>
    </xdr:to>
    <xdr:pic>
      <xdr:nvPicPr>
        <xdr:cNvPr id="73" name="Picture 72">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3642" y="19961678"/>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6</xdr:row>
      <xdr:rowOff>0</xdr:rowOff>
    </xdr:from>
    <xdr:to>
      <xdr:col>1</xdr:col>
      <xdr:colOff>8229599</xdr:colOff>
      <xdr:row>6</xdr:row>
      <xdr:rowOff>4480726</xdr:rowOff>
    </xdr:to>
    <xdr:pic>
      <xdr:nvPicPr>
        <xdr:cNvPr id="76" name="Picture 75">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43642" y="1034143"/>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16</xdr:row>
      <xdr:rowOff>0</xdr:rowOff>
    </xdr:from>
    <xdr:to>
      <xdr:col>1</xdr:col>
      <xdr:colOff>8229599</xdr:colOff>
      <xdr:row>16</xdr:row>
      <xdr:rowOff>4480726</xdr:rowOff>
    </xdr:to>
    <xdr:pic>
      <xdr:nvPicPr>
        <xdr:cNvPr id="77" name="Picture 76">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43642" y="24656143"/>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18</xdr:row>
      <xdr:rowOff>0</xdr:rowOff>
    </xdr:from>
    <xdr:to>
      <xdr:col>1</xdr:col>
      <xdr:colOff>8229599</xdr:colOff>
      <xdr:row>18</xdr:row>
      <xdr:rowOff>4480726</xdr:rowOff>
    </xdr:to>
    <xdr:pic>
      <xdr:nvPicPr>
        <xdr:cNvPr id="85" name="Picture 84">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43642" y="2933700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843642</xdr:colOff>
      <xdr:row>20</xdr:row>
      <xdr:rowOff>0</xdr:rowOff>
    </xdr:from>
    <xdr:to>
      <xdr:col>1</xdr:col>
      <xdr:colOff>8229599</xdr:colOff>
      <xdr:row>20</xdr:row>
      <xdr:rowOff>4480726</xdr:rowOff>
    </xdr:to>
    <xdr:pic>
      <xdr:nvPicPr>
        <xdr:cNvPr id="86" name="Picture 85">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43642" y="33949821"/>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8</xdr:row>
      <xdr:rowOff>0</xdr:rowOff>
    </xdr:from>
    <xdr:to>
      <xdr:col>4</xdr:col>
      <xdr:colOff>8229599</xdr:colOff>
      <xdr:row>8</xdr:row>
      <xdr:rowOff>4480726</xdr:rowOff>
    </xdr:to>
    <xdr:pic>
      <xdr:nvPicPr>
        <xdr:cNvPr id="17" name="Picture 16">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382249" y="5783036"/>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10</xdr:row>
      <xdr:rowOff>0</xdr:rowOff>
    </xdr:from>
    <xdr:to>
      <xdr:col>4</xdr:col>
      <xdr:colOff>8229599</xdr:colOff>
      <xdr:row>10</xdr:row>
      <xdr:rowOff>4480726</xdr:rowOff>
    </xdr:to>
    <xdr:pic>
      <xdr:nvPicPr>
        <xdr:cNvPr id="19" name="Picture 18">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0382249" y="1047750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12</xdr:row>
      <xdr:rowOff>0</xdr:rowOff>
    </xdr:from>
    <xdr:to>
      <xdr:col>4</xdr:col>
      <xdr:colOff>8229599</xdr:colOff>
      <xdr:row>12</xdr:row>
      <xdr:rowOff>4480726</xdr:rowOff>
    </xdr:to>
    <xdr:pic>
      <xdr:nvPicPr>
        <xdr:cNvPr id="20" name="Picture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382249" y="15171964"/>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14</xdr:row>
      <xdr:rowOff>0</xdr:rowOff>
    </xdr:from>
    <xdr:to>
      <xdr:col>4</xdr:col>
      <xdr:colOff>8229599</xdr:colOff>
      <xdr:row>14</xdr:row>
      <xdr:rowOff>4480726</xdr:rowOff>
    </xdr:to>
    <xdr:pic>
      <xdr:nvPicPr>
        <xdr:cNvPr id="21" name="Picture 20">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382249" y="19866429"/>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16</xdr:row>
      <xdr:rowOff>0</xdr:rowOff>
    </xdr:from>
    <xdr:to>
      <xdr:col>4</xdr:col>
      <xdr:colOff>8229599</xdr:colOff>
      <xdr:row>16</xdr:row>
      <xdr:rowOff>4480726</xdr:rowOff>
    </xdr:to>
    <xdr:pic>
      <xdr:nvPicPr>
        <xdr:cNvPr id="22" name="Picture 2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382249" y="24560893"/>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18</xdr:row>
      <xdr:rowOff>0</xdr:rowOff>
    </xdr:from>
    <xdr:to>
      <xdr:col>4</xdr:col>
      <xdr:colOff>8229599</xdr:colOff>
      <xdr:row>18</xdr:row>
      <xdr:rowOff>4480726</xdr:rowOff>
    </xdr:to>
    <xdr:pic>
      <xdr:nvPicPr>
        <xdr:cNvPr id="23" name="Picture 22">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0382249" y="29241750"/>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612320</xdr:colOff>
      <xdr:row>20</xdr:row>
      <xdr:rowOff>0</xdr:rowOff>
    </xdr:from>
    <xdr:to>
      <xdr:col>4</xdr:col>
      <xdr:colOff>8229599</xdr:colOff>
      <xdr:row>20</xdr:row>
      <xdr:rowOff>4480726</xdr:rowOff>
    </xdr:to>
    <xdr:pic>
      <xdr:nvPicPr>
        <xdr:cNvPr id="24" name="Picture 23">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0382249" y="33949821"/>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8</xdr:row>
      <xdr:rowOff>0</xdr:rowOff>
    </xdr:from>
    <xdr:to>
      <xdr:col>7</xdr:col>
      <xdr:colOff>8229599</xdr:colOff>
      <xdr:row>8</xdr:row>
      <xdr:rowOff>4480726</xdr:rowOff>
    </xdr:to>
    <xdr:pic>
      <xdr:nvPicPr>
        <xdr:cNvPr id="25" name="Picture 24">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898590" y="5766955"/>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10</xdr:row>
      <xdr:rowOff>0</xdr:rowOff>
    </xdr:from>
    <xdr:to>
      <xdr:col>7</xdr:col>
      <xdr:colOff>8229599</xdr:colOff>
      <xdr:row>10</xdr:row>
      <xdr:rowOff>4480726</xdr:rowOff>
    </xdr:to>
    <xdr:pic>
      <xdr:nvPicPr>
        <xdr:cNvPr id="27" name="Picture 26">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898590" y="10460182"/>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12</xdr:row>
      <xdr:rowOff>0</xdr:rowOff>
    </xdr:from>
    <xdr:to>
      <xdr:col>7</xdr:col>
      <xdr:colOff>8229599</xdr:colOff>
      <xdr:row>12</xdr:row>
      <xdr:rowOff>4480726</xdr:rowOff>
    </xdr:to>
    <xdr:pic>
      <xdr:nvPicPr>
        <xdr:cNvPr id="28" name="Picture 27">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898590" y="15153409"/>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14</xdr:row>
      <xdr:rowOff>0</xdr:rowOff>
    </xdr:from>
    <xdr:to>
      <xdr:col>7</xdr:col>
      <xdr:colOff>8229599</xdr:colOff>
      <xdr:row>14</xdr:row>
      <xdr:rowOff>4480726</xdr:rowOff>
    </xdr:to>
    <xdr:pic>
      <xdr:nvPicPr>
        <xdr:cNvPr id="29" name="Picture 28">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898590" y="19846636"/>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16</xdr:row>
      <xdr:rowOff>0</xdr:rowOff>
    </xdr:from>
    <xdr:to>
      <xdr:col>7</xdr:col>
      <xdr:colOff>8229599</xdr:colOff>
      <xdr:row>16</xdr:row>
      <xdr:rowOff>4480726</xdr:rowOff>
    </xdr:to>
    <xdr:pic>
      <xdr:nvPicPr>
        <xdr:cNvPr id="31" name="Picture 30">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898590" y="24539864"/>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18</xdr:row>
      <xdr:rowOff>0</xdr:rowOff>
    </xdr:from>
    <xdr:to>
      <xdr:col>7</xdr:col>
      <xdr:colOff>8229599</xdr:colOff>
      <xdr:row>18</xdr:row>
      <xdr:rowOff>4480726</xdr:rowOff>
    </xdr:to>
    <xdr:pic>
      <xdr:nvPicPr>
        <xdr:cNvPr id="33" name="Picture 32">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898590" y="29233091"/>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xdr:colOff>
      <xdr:row>20</xdr:row>
      <xdr:rowOff>0</xdr:rowOff>
    </xdr:from>
    <xdr:to>
      <xdr:col>7</xdr:col>
      <xdr:colOff>8229599</xdr:colOff>
      <xdr:row>20</xdr:row>
      <xdr:rowOff>4480726</xdr:rowOff>
    </xdr:to>
    <xdr:pic>
      <xdr:nvPicPr>
        <xdr:cNvPr id="34" name="Picture 33">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898590" y="33943636"/>
          <a:ext cx="8229600" cy="44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30</xdr:row>
          <xdr:rowOff>9525</xdr:rowOff>
        </xdr:from>
        <xdr:to>
          <xdr:col>6</xdr:col>
          <xdr:colOff>876300</xdr:colOff>
          <xdr:row>31</xdr:row>
          <xdr:rowOff>0</xdr:rowOff>
        </xdr:to>
        <xdr:sp macro="" textlink="">
          <xdr:nvSpPr>
            <xdr:cNvPr id="674505" name="Drop Down 713" hidden="1">
              <a:extLst>
                <a:ext uri="{63B3BB69-23CF-44E3-9099-C40C66FF867C}">
                  <a14:compatExt spid="_x0000_s674505"/>
                </a:ext>
                <a:ext uri="{FF2B5EF4-FFF2-40B4-BE49-F238E27FC236}">
                  <a16:creationId xmlns:a16="http://schemas.microsoft.com/office/drawing/2014/main" id="{00000000-0008-0000-0100-0000C9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31</xdr:row>
          <xdr:rowOff>9525</xdr:rowOff>
        </xdr:from>
        <xdr:to>
          <xdr:col>6</xdr:col>
          <xdr:colOff>876300</xdr:colOff>
          <xdr:row>32</xdr:row>
          <xdr:rowOff>0</xdr:rowOff>
        </xdr:to>
        <xdr:sp macro="" textlink="">
          <xdr:nvSpPr>
            <xdr:cNvPr id="674508" name="Drop Down 716" hidden="1">
              <a:extLst>
                <a:ext uri="{63B3BB69-23CF-44E3-9099-C40C66FF867C}">
                  <a14:compatExt spid="_x0000_s674508"/>
                </a:ext>
                <a:ext uri="{FF2B5EF4-FFF2-40B4-BE49-F238E27FC236}">
                  <a16:creationId xmlns:a16="http://schemas.microsoft.com/office/drawing/2014/main" id="{00000000-0008-0000-0100-0000CC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9525</xdr:rowOff>
        </xdr:from>
        <xdr:to>
          <xdr:col>6</xdr:col>
          <xdr:colOff>876300</xdr:colOff>
          <xdr:row>36</xdr:row>
          <xdr:rowOff>0</xdr:rowOff>
        </xdr:to>
        <xdr:sp macro="" textlink="">
          <xdr:nvSpPr>
            <xdr:cNvPr id="674527" name="Drop Down 735" hidden="1">
              <a:extLst>
                <a:ext uri="{63B3BB69-23CF-44E3-9099-C40C66FF867C}">
                  <a14:compatExt spid="_x0000_s674527"/>
                </a:ext>
                <a:ext uri="{FF2B5EF4-FFF2-40B4-BE49-F238E27FC236}">
                  <a16:creationId xmlns:a16="http://schemas.microsoft.com/office/drawing/2014/main" id="{00000000-0008-0000-0100-0000DF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9525</xdr:rowOff>
        </xdr:from>
        <xdr:to>
          <xdr:col>6</xdr:col>
          <xdr:colOff>876300</xdr:colOff>
          <xdr:row>41</xdr:row>
          <xdr:rowOff>0</xdr:rowOff>
        </xdr:to>
        <xdr:sp macro="" textlink="">
          <xdr:nvSpPr>
            <xdr:cNvPr id="674534" name="Drop Down 742" hidden="1">
              <a:extLst>
                <a:ext uri="{63B3BB69-23CF-44E3-9099-C40C66FF867C}">
                  <a14:compatExt spid="_x0000_s674534"/>
                </a:ext>
                <a:ext uri="{FF2B5EF4-FFF2-40B4-BE49-F238E27FC236}">
                  <a16:creationId xmlns:a16="http://schemas.microsoft.com/office/drawing/2014/main" id="{00000000-0008-0000-0100-0000E6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9525</xdr:rowOff>
        </xdr:from>
        <xdr:to>
          <xdr:col>6</xdr:col>
          <xdr:colOff>876300</xdr:colOff>
          <xdr:row>38</xdr:row>
          <xdr:rowOff>0</xdr:rowOff>
        </xdr:to>
        <xdr:sp macro="" textlink="">
          <xdr:nvSpPr>
            <xdr:cNvPr id="674536" name="Drop Down 744" hidden="1">
              <a:extLst>
                <a:ext uri="{63B3BB69-23CF-44E3-9099-C40C66FF867C}">
                  <a14:compatExt spid="_x0000_s674536"/>
                </a:ext>
                <a:ext uri="{FF2B5EF4-FFF2-40B4-BE49-F238E27FC236}">
                  <a16:creationId xmlns:a16="http://schemas.microsoft.com/office/drawing/2014/main" id="{00000000-0008-0000-0100-0000E8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9525</xdr:rowOff>
        </xdr:from>
        <xdr:to>
          <xdr:col>6</xdr:col>
          <xdr:colOff>876300</xdr:colOff>
          <xdr:row>37</xdr:row>
          <xdr:rowOff>0</xdr:rowOff>
        </xdr:to>
        <xdr:sp macro="" textlink="">
          <xdr:nvSpPr>
            <xdr:cNvPr id="674539" name="Drop Down 747" hidden="1">
              <a:extLst>
                <a:ext uri="{63B3BB69-23CF-44E3-9099-C40C66FF867C}">
                  <a14:compatExt spid="_x0000_s674539"/>
                </a:ext>
                <a:ext uri="{FF2B5EF4-FFF2-40B4-BE49-F238E27FC236}">
                  <a16:creationId xmlns:a16="http://schemas.microsoft.com/office/drawing/2014/main" id="{00000000-0008-0000-0100-0000EB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9525</xdr:rowOff>
        </xdr:from>
        <xdr:to>
          <xdr:col>6</xdr:col>
          <xdr:colOff>876300</xdr:colOff>
          <xdr:row>40</xdr:row>
          <xdr:rowOff>0</xdr:rowOff>
        </xdr:to>
        <xdr:sp macro="" textlink="">
          <xdr:nvSpPr>
            <xdr:cNvPr id="674540" name="Drop Down 748" hidden="1">
              <a:extLst>
                <a:ext uri="{63B3BB69-23CF-44E3-9099-C40C66FF867C}">
                  <a14:compatExt spid="_x0000_s674540"/>
                </a:ext>
                <a:ext uri="{FF2B5EF4-FFF2-40B4-BE49-F238E27FC236}">
                  <a16:creationId xmlns:a16="http://schemas.microsoft.com/office/drawing/2014/main" id="{00000000-0008-0000-0100-0000EC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9525</xdr:rowOff>
        </xdr:from>
        <xdr:to>
          <xdr:col>6</xdr:col>
          <xdr:colOff>876300</xdr:colOff>
          <xdr:row>42</xdr:row>
          <xdr:rowOff>0</xdr:rowOff>
        </xdr:to>
        <xdr:sp macro="" textlink="">
          <xdr:nvSpPr>
            <xdr:cNvPr id="674541" name="Drop Down 749" hidden="1">
              <a:extLst>
                <a:ext uri="{63B3BB69-23CF-44E3-9099-C40C66FF867C}">
                  <a14:compatExt spid="_x0000_s674541"/>
                </a:ext>
                <a:ext uri="{FF2B5EF4-FFF2-40B4-BE49-F238E27FC236}">
                  <a16:creationId xmlns:a16="http://schemas.microsoft.com/office/drawing/2014/main" id="{00000000-0008-0000-0100-0000ED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9525</xdr:rowOff>
        </xdr:from>
        <xdr:to>
          <xdr:col>6</xdr:col>
          <xdr:colOff>876300</xdr:colOff>
          <xdr:row>43</xdr:row>
          <xdr:rowOff>0</xdr:rowOff>
        </xdr:to>
        <xdr:sp macro="" textlink="">
          <xdr:nvSpPr>
            <xdr:cNvPr id="674542" name="Drop Down 750" hidden="1">
              <a:extLst>
                <a:ext uri="{63B3BB69-23CF-44E3-9099-C40C66FF867C}">
                  <a14:compatExt spid="_x0000_s674542"/>
                </a:ext>
                <a:ext uri="{FF2B5EF4-FFF2-40B4-BE49-F238E27FC236}">
                  <a16:creationId xmlns:a16="http://schemas.microsoft.com/office/drawing/2014/main" id="{00000000-0008-0000-0100-0000EE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9525</xdr:rowOff>
        </xdr:from>
        <xdr:to>
          <xdr:col>6</xdr:col>
          <xdr:colOff>876300</xdr:colOff>
          <xdr:row>44</xdr:row>
          <xdr:rowOff>0</xdr:rowOff>
        </xdr:to>
        <xdr:sp macro="" textlink="">
          <xdr:nvSpPr>
            <xdr:cNvPr id="674543" name="Drop Down 751" hidden="1">
              <a:extLst>
                <a:ext uri="{63B3BB69-23CF-44E3-9099-C40C66FF867C}">
                  <a14:compatExt spid="_x0000_s674543"/>
                </a:ext>
                <a:ext uri="{FF2B5EF4-FFF2-40B4-BE49-F238E27FC236}">
                  <a16:creationId xmlns:a16="http://schemas.microsoft.com/office/drawing/2014/main" id="{00000000-0008-0000-0100-0000EF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9525</xdr:rowOff>
        </xdr:from>
        <xdr:to>
          <xdr:col>6</xdr:col>
          <xdr:colOff>876300</xdr:colOff>
          <xdr:row>35</xdr:row>
          <xdr:rowOff>0</xdr:rowOff>
        </xdr:to>
        <xdr:sp macro="" textlink="">
          <xdr:nvSpPr>
            <xdr:cNvPr id="674544" name="Drop Down 752" hidden="1">
              <a:extLst>
                <a:ext uri="{63B3BB69-23CF-44E3-9099-C40C66FF867C}">
                  <a14:compatExt spid="_x0000_s674544"/>
                </a:ext>
                <a:ext uri="{FF2B5EF4-FFF2-40B4-BE49-F238E27FC236}">
                  <a16:creationId xmlns:a16="http://schemas.microsoft.com/office/drawing/2014/main" id="{00000000-0008-0000-0100-0000F04A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44</xdr:row>
          <xdr:rowOff>9525</xdr:rowOff>
        </xdr:from>
        <xdr:to>
          <xdr:col>6</xdr:col>
          <xdr:colOff>876300</xdr:colOff>
          <xdr:row>45</xdr:row>
          <xdr:rowOff>0</xdr:rowOff>
        </xdr:to>
        <xdr:sp macro="" textlink="">
          <xdr:nvSpPr>
            <xdr:cNvPr id="674632" name="Drop Down 840" hidden="1">
              <a:extLst>
                <a:ext uri="{63B3BB69-23CF-44E3-9099-C40C66FF867C}">
                  <a14:compatExt spid="_x0000_s674632"/>
                </a:ext>
                <a:ext uri="{FF2B5EF4-FFF2-40B4-BE49-F238E27FC236}">
                  <a16:creationId xmlns:a16="http://schemas.microsoft.com/office/drawing/2014/main" id="{00000000-0008-0000-0100-0000484B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33</xdr:row>
          <xdr:rowOff>9525</xdr:rowOff>
        </xdr:from>
        <xdr:to>
          <xdr:col>6</xdr:col>
          <xdr:colOff>876300</xdr:colOff>
          <xdr:row>34</xdr:row>
          <xdr:rowOff>0</xdr:rowOff>
        </xdr:to>
        <xdr:sp macro="" textlink="">
          <xdr:nvSpPr>
            <xdr:cNvPr id="674633" name="Drop Down 841" hidden="1">
              <a:extLst>
                <a:ext uri="{63B3BB69-23CF-44E3-9099-C40C66FF867C}">
                  <a14:compatExt spid="_x0000_s674633"/>
                </a:ext>
                <a:ext uri="{FF2B5EF4-FFF2-40B4-BE49-F238E27FC236}">
                  <a16:creationId xmlns:a16="http://schemas.microsoft.com/office/drawing/2014/main" id="{00000000-0008-0000-0100-0000494B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370999</xdr:colOff>
          <xdr:row>0</xdr:row>
          <xdr:rowOff>95250</xdr:rowOff>
        </xdr:from>
        <xdr:to>
          <xdr:col>7</xdr:col>
          <xdr:colOff>906899</xdr:colOff>
          <xdr:row>26</xdr:row>
          <xdr:rowOff>57258</xdr:rowOff>
        </xdr:to>
        <xdr:pic>
          <xdr:nvPicPr>
            <xdr:cNvPr id="77" name="Picture 8888">
              <a:extLst>
                <a:ext uri="{FF2B5EF4-FFF2-40B4-BE49-F238E27FC236}">
                  <a16:creationId xmlns:a16="http://schemas.microsoft.com/office/drawing/2014/main" id="{00000000-0008-0000-0100-00004D000000}"/>
                </a:ext>
              </a:extLst>
            </xdr:cNvPr>
            <xdr:cNvPicPr>
              <a:picLocks noChangeAspect="1" noChangeArrowheads="1"/>
              <a:extLst>
                <a:ext uri="{84589F7E-364E-4C9E-8A38-B11213B215E9}">
                  <a14:cameraTool cellRange="PICTURE1" spid="_x0000_s706315"/>
                </a:ext>
              </a:extLst>
            </xdr:cNvPicPr>
          </xdr:nvPicPr>
          <xdr:blipFill>
            <a:blip xmlns:r="http://schemas.openxmlformats.org/officeDocument/2006/relationships" r:embed="rId1"/>
            <a:srcRect/>
            <a:stretch>
              <a:fillRect/>
            </a:stretch>
          </xdr:blipFill>
          <xdr:spPr bwMode="auto">
            <a:xfrm>
              <a:off x="370999" y="95250"/>
              <a:ext cx="7308175" cy="4172058"/>
            </a:xfrm>
            <a:prstGeom prst="rect">
              <a:avLst/>
            </a:prstGeom>
            <a:noFill/>
            <a:ln w="15875">
              <a:noFill/>
              <a:miter lim="800000"/>
              <a:headEnd/>
              <a:tailEnd/>
            </a:ln>
            <a:extLst>
              <a:ext uri="{909E8E84-426E-40DD-AFC4-6F175D3DCCD1}">
                <a14:hiddenFill>
                  <a:solidFill>
                    <a:srgbClr val="FFFFFF" mc:Ignorable="a14" a14:legacySpreadsheetColorIndex="65"/>
                  </a:solidFill>
                </a14:hiddenFill>
              </a:ext>
            </a:extLst>
          </xdr:spPr>
        </xdr:pic>
        <xdr:clientData/>
      </xdr:twoCellAnchor>
    </mc:Choice>
    <mc:Fallback/>
  </mc:AlternateContent>
  <xdr:twoCellAnchor>
    <xdr:from>
      <xdr:col>1</xdr:col>
      <xdr:colOff>420742</xdr:colOff>
      <xdr:row>9</xdr:row>
      <xdr:rowOff>23494</xdr:rowOff>
    </xdr:from>
    <xdr:to>
      <xdr:col>1</xdr:col>
      <xdr:colOff>743582</xdr:colOff>
      <xdr:row>10</xdr:row>
      <xdr:rowOff>95608</xdr:rowOff>
    </xdr:to>
    <xdr:sp macro="" textlink="">
      <xdr:nvSpPr>
        <xdr:cNvPr id="78" name="Text Box 244">
          <a:extLst>
            <a:ext uri="{FF2B5EF4-FFF2-40B4-BE49-F238E27FC236}">
              <a16:creationId xmlns:a16="http://schemas.microsoft.com/office/drawing/2014/main" id="{00000000-0008-0000-0100-00004E000000}"/>
            </a:ext>
          </a:extLst>
        </xdr:cNvPr>
        <xdr:cNvSpPr txBox="1">
          <a:spLocks noChangeArrowheads="1"/>
        </xdr:cNvSpPr>
      </xdr:nvSpPr>
      <xdr:spPr bwMode="auto">
        <a:xfrm>
          <a:off x="1058917" y="1480819"/>
          <a:ext cx="322840" cy="234039"/>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C</a:t>
          </a:r>
          <a:r>
            <a:rPr lang="en-US" sz="1100" b="0" i="0" strike="noStrike" baseline="-25000">
              <a:solidFill>
                <a:srgbClr val="000000"/>
              </a:solidFill>
              <a:latin typeface="Arial" pitchFamily="34" charset="0"/>
              <a:cs typeface="Arial" pitchFamily="34" charset="0"/>
            </a:rPr>
            <a:t>IN</a:t>
          </a:r>
        </a:p>
      </xdr:txBody>
    </xdr:sp>
    <xdr:clientData/>
  </xdr:twoCellAnchor>
  <xdr:twoCellAnchor>
    <xdr:from>
      <xdr:col>6</xdr:col>
      <xdr:colOff>847596</xdr:colOff>
      <xdr:row>7</xdr:row>
      <xdr:rowOff>63609</xdr:rowOff>
    </xdr:from>
    <xdr:to>
      <xdr:col>7</xdr:col>
      <xdr:colOff>265709</xdr:colOff>
      <xdr:row>8</xdr:row>
      <xdr:rowOff>84849</xdr:rowOff>
    </xdr:to>
    <xdr:sp macro="" textlink="'Variable Mgmt'!B213">
      <xdr:nvSpPr>
        <xdr:cNvPr id="79" name="Text Box 267">
          <a:extLst>
            <a:ext uri="{FF2B5EF4-FFF2-40B4-BE49-F238E27FC236}">
              <a16:creationId xmlns:a16="http://schemas.microsoft.com/office/drawing/2014/main" id="{00000000-0008-0000-0100-00004F000000}"/>
            </a:ext>
          </a:extLst>
        </xdr:cNvPr>
        <xdr:cNvSpPr txBox="1">
          <a:spLocks noChangeArrowheads="1" noTextEdit="1"/>
        </xdr:cNvSpPr>
      </xdr:nvSpPr>
      <xdr:spPr bwMode="auto">
        <a:xfrm>
          <a:off x="6543546" y="1197084"/>
          <a:ext cx="494438" cy="183165"/>
        </a:xfrm>
        <a:prstGeom prst="rect">
          <a:avLst/>
        </a:prstGeom>
        <a:noFill/>
        <a:ln w="9525">
          <a:noFill/>
          <a:miter lim="800000"/>
          <a:headEnd/>
          <a:tailEnd/>
        </a:ln>
      </xdr:spPr>
      <xdr:txBody>
        <a:bodyPr vertOverflow="clip" wrap="square" lIns="27432" tIns="22860" rIns="0" bIns="0" anchor="ctr" upright="1"/>
        <a:lstStyle/>
        <a:p>
          <a:pPr algn="l" rtl="0">
            <a:defRPr sz="1000"/>
          </a:pPr>
          <a:fld id="{DEF62FD0-959B-4627-B7E8-61CA1688D174}" type="TxLink">
            <a:rPr lang="en-US" sz="1100" b="0" i="0" u="none" strike="noStrike" baseline="0">
              <a:solidFill>
                <a:srgbClr val="000000"/>
              </a:solidFill>
              <a:latin typeface="Arial" pitchFamily="34" charset="0"/>
              <a:cs typeface="Arial" pitchFamily="34" charset="0"/>
            </a:rPr>
            <a:pPr algn="l" rtl="0">
              <a:defRPr sz="1000"/>
            </a:pPr>
            <a:t>100µF</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5</xdr:col>
      <xdr:colOff>224042</xdr:colOff>
      <xdr:row>9</xdr:row>
      <xdr:rowOff>105784</xdr:rowOff>
    </xdr:from>
    <xdr:to>
      <xdr:col>5</xdr:col>
      <xdr:colOff>675647</xdr:colOff>
      <xdr:row>11</xdr:row>
      <xdr:rowOff>40383</xdr:rowOff>
    </xdr:to>
    <xdr:sp macro="" textlink="'Variable Mgmt'!B199">
      <xdr:nvSpPr>
        <xdr:cNvPr id="80" name="Text Box 275">
          <a:extLst>
            <a:ext uri="{FF2B5EF4-FFF2-40B4-BE49-F238E27FC236}">
              <a16:creationId xmlns:a16="http://schemas.microsoft.com/office/drawing/2014/main" id="{00000000-0008-0000-0100-000050000000}"/>
            </a:ext>
          </a:extLst>
        </xdr:cNvPr>
        <xdr:cNvSpPr txBox="1">
          <a:spLocks noChangeArrowheads="1" noTextEdit="1"/>
        </xdr:cNvSpPr>
      </xdr:nvSpPr>
      <xdr:spPr bwMode="auto">
        <a:xfrm>
          <a:off x="5015117" y="1563109"/>
          <a:ext cx="451605" cy="258449"/>
        </a:xfrm>
        <a:prstGeom prst="rect">
          <a:avLst/>
        </a:prstGeom>
        <a:noFill/>
        <a:ln w="9525">
          <a:noFill/>
          <a:miter lim="800000"/>
          <a:headEnd/>
          <a:tailEnd/>
        </a:ln>
      </xdr:spPr>
      <xdr:txBody>
        <a:bodyPr vertOverflow="clip" wrap="square" lIns="27432" tIns="22860" rIns="0" bIns="0" anchor="ctr" upright="1"/>
        <a:lstStyle/>
        <a:p>
          <a:pPr algn="ctr" rtl="0">
            <a:defRPr sz="1000"/>
          </a:pPr>
          <a:fld id="{08583DE7-3129-476B-98BE-2887A134E956}" type="TxLink">
            <a:rPr lang="en-US" sz="1100" b="0" i="0" u="none" strike="noStrike" baseline="0">
              <a:solidFill>
                <a:srgbClr val="000000"/>
              </a:solidFill>
              <a:latin typeface="Arial" pitchFamily="34" charset="0"/>
              <a:cs typeface="Arial" pitchFamily="34" charset="0"/>
            </a:rPr>
            <a:pPr algn="ctr" rtl="0">
              <a:defRPr sz="1000"/>
            </a:pPr>
            <a:t>84µH</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1</xdr:col>
      <xdr:colOff>329828</xdr:colOff>
      <xdr:row>10</xdr:row>
      <xdr:rowOff>96372</xdr:rowOff>
    </xdr:from>
    <xdr:to>
      <xdr:col>2</xdr:col>
      <xdr:colOff>37577</xdr:colOff>
      <xdr:row>11</xdr:row>
      <xdr:rowOff>132518</xdr:rowOff>
    </xdr:to>
    <xdr:sp macro="" textlink="'Variable Mgmt'!B218">
      <xdr:nvSpPr>
        <xdr:cNvPr id="81" name="Text Box 276">
          <a:extLst>
            <a:ext uri="{FF2B5EF4-FFF2-40B4-BE49-F238E27FC236}">
              <a16:creationId xmlns:a16="http://schemas.microsoft.com/office/drawing/2014/main" id="{00000000-0008-0000-0100-000051000000}"/>
            </a:ext>
          </a:extLst>
        </xdr:cNvPr>
        <xdr:cNvSpPr txBox="1">
          <a:spLocks noChangeArrowheads="1" noTextEdit="1"/>
        </xdr:cNvSpPr>
      </xdr:nvSpPr>
      <xdr:spPr bwMode="auto">
        <a:xfrm>
          <a:off x="968003" y="1715622"/>
          <a:ext cx="469749" cy="198071"/>
        </a:xfrm>
        <a:prstGeom prst="rect">
          <a:avLst/>
        </a:prstGeom>
        <a:noFill/>
        <a:ln w="9525">
          <a:noFill/>
          <a:miter lim="800000"/>
          <a:headEnd/>
          <a:tailEnd/>
        </a:ln>
      </xdr:spPr>
      <xdr:txBody>
        <a:bodyPr vertOverflow="clip" wrap="square" lIns="27432" tIns="22860" rIns="0" bIns="0" anchor="ctr" upright="1"/>
        <a:lstStyle/>
        <a:p>
          <a:pPr algn="ctr" rtl="0">
            <a:defRPr sz="1000"/>
          </a:pPr>
          <a:fld id="{7E8F3901-1453-4951-8E28-510E65401D4C}" type="TxLink">
            <a:rPr lang="en-US" sz="1100" b="0" i="0" u="none" strike="noStrike" baseline="0">
              <a:solidFill>
                <a:srgbClr val="000000"/>
              </a:solidFill>
              <a:latin typeface="Arial" pitchFamily="34" charset="0"/>
              <a:cs typeface="Arial" pitchFamily="34" charset="0"/>
            </a:rPr>
            <a:pPr algn="ctr" rtl="0">
              <a:defRPr sz="1000"/>
            </a:pPr>
            <a:t>22µF</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2</xdr:col>
      <xdr:colOff>198843</xdr:colOff>
      <xdr:row>21</xdr:row>
      <xdr:rowOff>104015</xdr:rowOff>
    </xdr:from>
    <xdr:to>
      <xdr:col>2</xdr:col>
      <xdr:colOff>642811</xdr:colOff>
      <xdr:row>23</xdr:row>
      <xdr:rowOff>62417</xdr:rowOff>
    </xdr:to>
    <xdr:sp macro="" textlink="'Variable Mgmt'!D245">
      <xdr:nvSpPr>
        <xdr:cNvPr id="82" name="Text Box 281">
          <a:extLst>
            <a:ext uri="{FF2B5EF4-FFF2-40B4-BE49-F238E27FC236}">
              <a16:creationId xmlns:a16="http://schemas.microsoft.com/office/drawing/2014/main" id="{00000000-0008-0000-0100-000052000000}"/>
            </a:ext>
          </a:extLst>
        </xdr:cNvPr>
        <xdr:cNvSpPr txBox="1">
          <a:spLocks noChangeArrowheads="1" noTextEdit="1"/>
        </xdr:cNvSpPr>
      </xdr:nvSpPr>
      <xdr:spPr bwMode="auto">
        <a:xfrm>
          <a:off x="1599018" y="3504440"/>
          <a:ext cx="443968" cy="282252"/>
        </a:xfrm>
        <a:prstGeom prst="rect">
          <a:avLst/>
        </a:prstGeom>
        <a:noFill/>
        <a:ln w="9525">
          <a:noFill/>
          <a:miter lim="800000"/>
          <a:headEnd/>
          <a:tailEnd/>
        </a:ln>
      </xdr:spPr>
      <xdr:txBody>
        <a:bodyPr vertOverflow="clip" wrap="square" lIns="27432" tIns="22860" rIns="0" bIns="0" anchor="ctr" upright="1"/>
        <a:lstStyle/>
        <a:p>
          <a:pPr algn="l" rtl="0">
            <a:defRPr sz="1000"/>
          </a:pPr>
          <a:fld id="{F2115F91-8BFD-4C9B-9969-8B2C04ADF4C5}" type="TxLink">
            <a:rPr lang="en-US" sz="1100" b="0" i="0" u="none" strike="noStrike">
              <a:solidFill>
                <a:srgbClr val="000000"/>
              </a:solidFill>
              <a:latin typeface="Arial"/>
              <a:cs typeface="Arial"/>
            </a:rPr>
            <a:pPr algn="l" rtl="0">
              <a:defRPr sz="1000"/>
            </a:pPr>
            <a:t> </a:t>
          </a:fld>
          <a:endParaRPr lang="en-US" sz="1100" b="0" i="0" strike="noStrike">
            <a:solidFill>
              <a:srgbClr val="000000"/>
            </a:solidFill>
            <a:latin typeface="Arial" pitchFamily="34" charset="0"/>
            <a:cs typeface="Arial" pitchFamily="34" charset="0"/>
          </a:endParaRPr>
        </a:p>
      </xdr:txBody>
    </xdr:sp>
    <xdr:clientData/>
  </xdr:twoCellAnchor>
  <xdr:twoCellAnchor>
    <xdr:from>
      <xdr:col>0</xdr:col>
      <xdr:colOff>344923</xdr:colOff>
      <xdr:row>2</xdr:row>
      <xdr:rowOff>118526</xdr:rowOff>
    </xdr:from>
    <xdr:to>
      <xdr:col>1</xdr:col>
      <xdr:colOff>219275</xdr:colOff>
      <xdr:row>5</xdr:row>
      <xdr:rowOff>91586</xdr:rowOff>
    </xdr:to>
    <xdr:sp macro="" textlink="'Variable Mgmt'!B205">
      <xdr:nvSpPr>
        <xdr:cNvPr id="85" name="Text Box 283">
          <a:extLst>
            <a:ext uri="{FF2B5EF4-FFF2-40B4-BE49-F238E27FC236}">
              <a16:creationId xmlns:a16="http://schemas.microsoft.com/office/drawing/2014/main" id="{00000000-0008-0000-0100-000055000000}"/>
            </a:ext>
          </a:extLst>
        </xdr:cNvPr>
        <xdr:cNvSpPr txBox="1">
          <a:spLocks noChangeArrowheads="1" noTextEdit="1"/>
        </xdr:cNvSpPr>
      </xdr:nvSpPr>
      <xdr:spPr bwMode="auto">
        <a:xfrm>
          <a:off x="344923" y="442376"/>
          <a:ext cx="512527" cy="458835"/>
        </a:xfrm>
        <a:prstGeom prst="rect">
          <a:avLst/>
        </a:prstGeom>
        <a:noFill/>
        <a:ln w="9525">
          <a:noFill/>
          <a:miter lim="800000"/>
          <a:headEnd/>
          <a:tailEnd/>
        </a:ln>
      </xdr:spPr>
      <xdr:txBody>
        <a:bodyPr vertOverflow="clip" wrap="square" lIns="27432" tIns="22860" rIns="0" bIns="0" anchor="ctr" upright="1"/>
        <a:lstStyle/>
        <a:p>
          <a:pPr algn="r" rtl="0">
            <a:defRPr sz="1000"/>
          </a:pPr>
          <a:fld id="{211B0151-B00E-493E-8C8F-6E492416D93B}" type="TxLink">
            <a:rPr lang="en-US" sz="1400" b="1" i="0" u="none" strike="noStrike">
              <a:solidFill>
                <a:srgbClr val="FF0000"/>
              </a:solidFill>
              <a:latin typeface="Arial" pitchFamily="34" charset="0"/>
              <a:cs typeface="Arial" pitchFamily="34" charset="0"/>
            </a:rPr>
            <a:pPr algn="r" rtl="0">
              <a:defRPr sz="1000"/>
            </a:pPr>
            <a:t>24V</a:t>
          </a:fld>
          <a:endParaRPr lang="en-US" sz="1400" b="1" i="0" strike="noStrike">
            <a:solidFill>
              <a:srgbClr val="FF0000"/>
            </a:solidFill>
            <a:latin typeface="Arial" pitchFamily="34" charset="0"/>
            <a:cs typeface="Arial" pitchFamily="34" charset="0"/>
          </a:endParaRPr>
        </a:p>
      </xdr:txBody>
    </xdr:sp>
    <xdr:clientData/>
  </xdr:twoCellAnchor>
  <xdr:twoCellAnchor>
    <xdr:from>
      <xdr:col>7</xdr:col>
      <xdr:colOff>269013</xdr:colOff>
      <xdr:row>3</xdr:row>
      <xdr:rowOff>3197</xdr:rowOff>
    </xdr:from>
    <xdr:to>
      <xdr:col>7</xdr:col>
      <xdr:colOff>935407</xdr:colOff>
      <xdr:row>5</xdr:row>
      <xdr:rowOff>25976</xdr:rowOff>
    </xdr:to>
    <xdr:sp macro="" textlink="'Variable Mgmt'!B208">
      <xdr:nvSpPr>
        <xdr:cNvPr id="87" name="Text Box 285">
          <a:extLst>
            <a:ext uri="{FF2B5EF4-FFF2-40B4-BE49-F238E27FC236}">
              <a16:creationId xmlns:a16="http://schemas.microsoft.com/office/drawing/2014/main" id="{00000000-0008-0000-0100-000057000000}"/>
            </a:ext>
          </a:extLst>
        </xdr:cNvPr>
        <xdr:cNvSpPr txBox="1">
          <a:spLocks noChangeArrowheads="1" noTextEdit="1"/>
        </xdr:cNvSpPr>
      </xdr:nvSpPr>
      <xdr:spPr bwMode="auto">
        <a:xfrm>
          <a:off x="7041288" y="488972"/>
          <a:ext cx="666394" cy="346629"/>
        </a:xfrm>
        <a:prstGeom prst="rect">
          <a:avLst/>
        </a:prstGeom>
        <a:noFill/>
        <a:ln w="9525">
          <a:noFill/>
          <a:miter lim="800000"/>
          <a:headEnd/>
          <a:tailEnd/>
        </a:ln>
      </xdr:spPr>
      <xdr:txBody>
        <a:bodyPr vertOverflow="clip" wrap="square" lIns="27432" tIns="22860" rIns="0" bIns="0" anchor="ctr" upright="1"/>
        <a:lstStyle/>
        <a:p>
          <a:pPr algn="l" rtl="0">
            <a:defRPr sz="1000"/>
          </a:pPr>
          <a:fld id="{702C2B8A-7C4B-4FDB-B229-3170089D9686}" type="TxLink">
            <a:rPr lang="en-US" sz="1400" b="1" i="0" u="none" strike="noStrike" baseline="0">
              <a:solidFill>
                <a:srgbClr val="FF0000"/>
              </a:solidFill>
              <a:latin typeface="Arial" pitchFamily="34" charset="0"/>
              <a:cs typeface="Arial" pitchFamily="34" charset="0"/>
            </a:rPr>
            <a:pPr algn="l" rtl="0">
              <a:defRPr sz="1000"/>
            </a:pPr>
            <a:t>12V</a:t>
          </a:fld>
          <a:endParaRPr lang="en-US" sz="1400" b="1" i="0" u="none" strike="noStrike" baseline="0">
            <a:solidFill>
              <a:srgbClr val="FF0000"/>
            </a:solidFill>
            <a:latin typeface="Arial" pitchFamily="34" charset="0"/>
            <a:cs typeface="Arial" pitchFamily="34" charset="0"/>
          </a:endParaRPr>
        </a:p>
      </xdr:txBody>
    </xdr:sp>
    <xdr:clientData/>
  </xdr:twoCellAnchor>
  <xdr:twoCellAnchor>
    <xdr:from>
      <xdr:col>7</xdr:col>
      <xdr:colOff>116324</xdr:colOff>
      <xdr:row>4</xdr:row>
      <xdr:rowOff>112611</xdr:rowOff>
    </xdr:from>
    <xdr:to>
      <xdr:col>7</xdr:col>
      <xdr:colOff>668773</xdr:colOff>
      <xdr:row>6</xdr:row>
      <xdr:rowOff>93051</xdr:rowOff>
    </xdr:to>
    <xdr:sp macro="" textlink="'Variable Mgmt'!B263">
      <xdr:nvSpPr>
        <xdr:cNvPr id="88" name="Text Box 286">
          <a:extLst>
            <a:ext uri="{FF2B5EF4-FFF2-40B4-BE49-F238E27FC236}">
              <a16:creationId xmlns:a16="http://schemas.microsoft.com/office/drawing/2014/main" id="{00000000-0008-0000-0100-000058000000}"/>
            </a:ext>
          </a:extLst>
        </xdr:cNvPr>
        <xdr:cNvSpPr txBox="1">
          <a:spLocks noChangeArrowheads="1" noTextEdit="1"/>
        </xdr:cNvSpPr>
      </xdr:nvSpPr>
      <xdr:spPr bwMode="auto">
        <a:xfrm>
          <a:off x="6888599" y="760311"/>
          <a:ext cx="552449" cy="304290"/>
        </a:xfrm>
        <a:prstGeom prst="rect">
          <a:avLst/>
        </a:prstGeom>
        <a:noFill/>
        <a:ln w="9525">
          <a:noFill/>
          <a:miter lim="800000"/>
          <a:headEnd/>
          <a:tailEnd/>
        </a:ln>
      </xdr:spPr>
      <xdr:txBody>
        <a:bodyPr vertOverflow="clip" wrap="square" lIns="27432" tIns="22860" rIns="0" bIns="0" anchor="ctr" upright="1"/>
        <a:lstStyle/>
        <a:p>
          <a:pPr algn="ctr" rtl="0">
            <a:defRPr sz="1000"/>
          </a:pPr>
          <a:fld id="{E0FB88FA-F39E-4ACF-AB5E-DCB628763AAE}" type="TxLink">
            <a:rPr lang="en-US" sz="1350" b="1" i="0" u="none" strike="noStrike">
              <a:solidFill>
                <a:srgbClr val="FF0000"/>
              </a:solidFill>
              <a:latin typeface="Arial" pitchFamily="34" charset="0"/>
              <a:cs typeface="Arial" pitchFamily="34" charset="0"/>
            </a:rPr>
            <a:pPr algn="ctr" rtl="0">
              <a:defRPr sz="1000"/>
            </a:pPr>
            <a:t>0.4A</a:t>
          </a:fld>
          <a:endParaRPr lang="en-US" sz="1350" b="1" i="0" strike="noStrike">
            <a:solidFill>
              <a:srgbClr val="FF0000"/>
            </a:solidFill>
            <a:latin typeface="Arial" pitchFamily="34" charset="0"/>
            <a:cs typeface="Arial" pitchFamily="34" charset="0"/>
          </a:endParaRPr>
        </a:p>
      </xdr:txBody>
    </xdr:sp>
    <xdr:clientData/>
  </xdr:twoCellAnchor>
  <xdr:twoCellAnchor>
    <xdr:from>
      <xdr:col>2</xdr:col>
      <xdr:colOff>217360</xdr:colOff>
      <xdr:row>7</xdr:row>
      <xdr:rowOff>99362</xdr:rowOff>
    </xdr:from>
    <xdr:to>
      <xdr:col>2</xdr:col>
      <xdr:colOff>742058</xdr:colOff>
      <xdr:row>9</xdr:row>
      <xdr:rowOff>29041</xdr:rowOff>
    </xdr:to>
    <xdr:sp macro="" textlink="'Variable Mgmt'!C237">
      <xdr:nvSpPr>
        <xdr:cNvPr id="92" name="Text Box 268">
          <a:extLst>
            <a:ext uri="{FF2B5EF4-FFF2-40B4-BE49-F238E27FC236}">
              <a16:creationId xmlns:a16="http://schemas.microsoft.com/office/drawing/2014/main" id="{00000000-0008-0000-0100-00005C000000}"/>
            </a:ext>
          </a:extLst>
        </xdr:cNvPr>
        <xdr:cNvSpPr txBox="1">
          <a:spLocks noChangeArrowheads="1" noTextEdit="1"/>
        </xdr:cNvSpPr>
      </xdr:nvSpPr>
      <xdr:spPr bwMode="auto">
        <a:xfrm>
          <a:off x="1617535" y="1232837"/>
          <a:ext cx="524698" cy="253529"/>
        </a:xfrm>
        <a:prstGeom prst="rect">
          <a:avLst/>
        </a:prstGeom>
        <a:noFill/>
        <a:ln w="9525">
          <a:noFill/>
          <a:miter lim="800000"/>
          <a:headEnd/>
          <a:tailEnd/>
        </a:ln>
      </xdr:spPr>
      <xdr:txBody>
        <a:bodyPr vertOverflow="clip" wrap="square" lIns="27432" tIns="22860" rIns="0" bIns="0" anchor="ctr" upright="1"/>
        <a:lstStyle/>
        <a:p>
          <a:pPr algn="l" rtl="0">
            <a:defRPr sz="1000"/>
          </a:pPr>
          <a:fld id="{9F0ED324-D4DC-458E-AFDF-B2BC6995B894}" type="TxLink">
            <a:rPr lang="en-US" sz="1000" b="0" i="0" u="none" strike="noStrike">
              <a:solidFill>
                <a:srgbClr val="000000"/>
              </a:solidFill>
              <a:latin typeface="Arial"/>
              <a:cs typeface="Arial"/>
            </a:rPr>
            <a:pPr algn="l" rtl="0">
              <a:defRPr sz="1000"/>
            </a:pPr>
            <a:t>169kΩ</a:t>
          </a:fld>
          <a:endParaRPr lang="el-GR" sz="1000" b="0" i="0" strike="noStrike">
            <a:solidFill>
              <a:srgbClr val="000000"/>
            </a:solidFill>
            <a:latin typeface="Arial" pitchFamily="34" charset="0"/>
            <a:cs typeface="Arial" pitchFamily="34" charset="0"/>
          </a:endParaRPr>
        </a:p>
      </xdr:txBody>
    </xdr:sp>
    <xdr:clientData/>
  </xdr:twoCellAnchor>
  <xdr:twoCellAnchor>
    <xdr:from>
      <xdr:col>2</xdr:col>
      <xdr:colOff>198310</xdr:colOff>
      <xdr:row>13</xdr:row>
      <xdr:rowOff>137646</xdr:rowOff>
    </xdr:from>
    <xdr:to>
      <xdr:col>2</xdr:col>
      <xdr:colOff>723008</xdr:colOff>
      <xdr:row>15</xdr:row>
      <xdr:rowOff>31908</xdr:rowOff>
    </xdr:to>
    <xdr:sp macro="" textlink="'Variable Mgmt'!C238">
      <xdr:nvSpPr>
        <xdr:cNvPr id="93" name="Text Box 268">
          <a:extLst>
            <a:ext uri="{FF2B5EF4-FFF2-40B4-BE49-F238E27FC236}">
              <a16:creationId xmlns:a16="http://schemas.microsoft.com/office/drawing/2014/main" id="{00000000-0008-0000-0100-00005D000000}"/>
            </a:ext>
          </a:extLst>
        </xdr:cNvPr>
        <xdr:cNvSpPr txBox="1">
          <a:spLocks noChangeArrowheads="1" noTextEdit="1"/>
        </xdr:cNvSpPr>
      </xdr:nvSpPr>
      <xdr:spPr bwMode="auto">
        <a:xfrm>
          <a:off x="1598485" y="2242671"/>
          <a:ext cx="524698" cy="218112"/>
        </a:xfrm>
        <a:prstGeom prst="rect">
          <a:avLst/>
        </a:prstGeom>
        <a:noFill/>
        <a:ln w="9525">
          <a:noFill/>
          <a:miter lim="800000"/>
          <a:headEnd/>
          <a:tailEnd/>
        </a:ln>
      </xdr:spPr>
      <xdr:txBody>
        <a:bodyPr vertOverflow="clip" wrap="square" lIns="27432" tIns="22860" rIns="0" bIns="0" anchor="ctr" upright="1"/>
        <a:lstStyle/>
        <a:p>
          <a:pPr algn="l" rtl="0">
            <a:defRPr sz="1000"/>
          </a:pPr>
          <a:fld id="{34FF5C9F-E605-45FC-B7D1-F0CC0D61FE72}" type="TxLink">
            <a:rPr lang="en-US" sz="1000" b="0" i="0" u="none" strike="noStrike">
              <a:solidFill>
                <a:srgbClr val="000000"/>
              </a:solidFill>
              <a:latin typeface="Arial"/>
              <a:cs typeface="Arial"/>
            </a:rPr>
            <a:pPr algn="l" rtl="0">
              <a:defRPr sz="1000"/>
            </a:pPr>
            <a:t>84.5kΩ</a:t>
          </a:fld>
          <a:endParaRPr lang="el-GR" sz="1000" b="0" i="0" strike="noStrike">
            <a:solidFill>
              <a:srgbClr val="000000"/>
            </a:solidFill>
            <a:latin typeface="Arial" pitchFamily="34" charset="0"/>
            <a:cs typeface="Arial" pitchFamily="34" charset="0"/>
          </a:endParaRPr>
        </a:p>
      </xdr:txBody>
    </xdr:sp>
    <xdr:clientData/>
  </xdr:twoCellAnchor>
  <xdr:twoCellAnchor>
    <xdr:from>
      <xdr:col>4</xdr:col>
      <xdr:colOff>659751</xdr:colOff>
      <xdr:row>14</xdr:row>
      <xdr:rowOff>38988</xdr:rowOff>
    </xdr:from>
    <xdr:to>
      <xdr:col>5</xdr:col>
      <xdr:colOff>29192</xdr:colOff>
      <xdr:row>15</xdr:row>
      <xdr:rowOff>121560</xdr:rowOff>
    </xdr:to>
    <xdr:sp macro="" textlink="'Variable Mgmt'!C227">
      <xdr:nvSpPr>
        <xdr:cNvPr id="94" name="Text Box 268">
          <a:extLst>
            <a:ext uri="{FF2B5EF4-FFF2-40B4-BE49-F238E27FC236}">
              <a16:creationId xmlns:a16="http://schemas.microsoft.com/office/drawing/2014/main" id="{00000000-0008-0000-0100-00005E000000}"/>
            </a:ext>
          </a:extLst>
        </xdr:cNvPr>
        <xdr:cNvSpPr txBox="1">
          <a:spLocks noChangeArrowheads="1" noTextEdit="1"/>
        </xdr:cNvSpPr>
      </xdr:nvSpPr>
      <xdr:spPr bwMode="auto">
        <a:xfrm>
          <a:off x="4298301" y="2305938"/>
          <a:ext cx="521966" cy="244497"/>
        </a:xfrm>
        <a:prstGeom prst="rect">
          <a:avLst/>
        </a:prstGeom>
        <a:noFill/>
        <a:ln w="9525">
          <a:noFill/>
          <a:miter lim="800000"/>
          <a:headEnd/>
          <a:tailEnd/>
        </a:ln>
      </xdr:spPr>
      <xdr:txBody>
        <a:bodyPr vertOverflow="clip" wrap="square" lIns="27432" tIns="22860" rIns="0" bIns="0" anchor="ctr" upright="1"/>
        <a:lstStyle/>
        <a:p>
          <a:pPr algn="l" rtl="0">
            <a:defRPr sz="1000"/>
          </a:pPr>
          <a:fld id="{748954DB-E280-498C-BC91-9439B9EC7524}" type="TxLink">
            <a:rPr lang="en-US" sz="1100" b="0" i="0" u="none" strike="noStrike">
              <a:solidFill>
                <a:srgbClr val="000000"/>
              </a:solidFill>
              <a:latin typeface="Arial"/>
              <a:cs typeface="Arial"/>
            </a:rPr>
            <a:pPr algn="l" rtl="0">
              <a:defRPr sz="1000"/>
            </a:pPr>
            <a:t>246kΩ</a:t>
          </a:fld>
          <a:endParaRPr lang="el-GR" sz="1800" b="0" i="0" strike="noStrike">
            <a:solidFill>
              <a:srgbClr val="000000"/>
            </a:solidFill>
            <a:latin typeface="Arial" pitchFamily="34" charset="0"/>
            <a:cs typeface="Arial" pitchFamily="34" charset="0"/>
          </a:endParaRPr>
        </a:p>
      </xdr:txBody>
    </xdr:sp>
    <xdr:clientData/>
  </xdr:twoCellAnchor>
  <xdr:twoCellAnchor>
    <xdr:from>
      <xdr:col>5</xdr:col>
      <xdr:colOff>157931</xdr:colOff>
      <xdr:row>20</xdr:row>
      <xdr:rowOff>88956</xdr:rowOff>
    </xdr:from>
    <xdr:to>
      <xdr:col>5</xdr:col>
      <xdr:colOff>672415</xdr:colOff>
      <xdr:row>21</xdr:row>
      <xdr:rowOff>128452</xdr:rowOff>
    </xdr:to>
    <xdr:sp macro="" textlink="'Variable Mgmt'!C241">
      <xdr:nvSpPr>
        <xdr:cNvPr id="95" name="Text Box 265">
          <a:extLst>
            <a:ext uri="{FF2B5EF4-FFF2-40B4-BE49-F238E27FC236}">
              <a16:creationId xmlns:a16="http://schemas.microsoft.com/office/drawing/2014/main" id="{00000000-0008-0000-0100-00005F000000}"/>
            </a:ext>
          </a:extLst>
        </xdr:cNvPr>
        <xdr:cNvSpPr txBox="1">
          <a:spLocks noChangeArrowheads="1" noTextEdit="1"/>
        </xdr:cNvSpPr>
      </xdr:nvSpPr>
      <xdr:spPr bwMode="auto">
        <a:xfrm>
          <a:off x="4949006" y="3327456"/>
          <a:ext cx="514484" cy="201421"/>
        </a:xfrm>
        <a:prstGeom prst="rect">
          <a:avLst/>
        </a:prstGeom>
        <a:noFill/>
        <a:ln w="9525">
          <a:noFill/>
          <a:miter lim="800000"/>
          <a:headEnd/>
          <a:tailEnd/>
        </a:ln>
      </xdr:spPr>
      <xdr:txBody>
        <a:bodyPr vertOverflow="clip" wrap="square" lIns="27432" tIns="22860" rIns="0" bIns="0" anchor="t" upright="1"/>
        <a:lstStyle/>
        <a:p>
          <a:pPr algn="l" rtl="0">
            <a:defRPr sz="1000"/>
          </a:pPr>
          <a:fld id="{B2616B24-776D-472C-9328-875E07CFCCA9}" type="TxLink">
            <a:rPr lang="en-US" sz="1100" b="0" i="0" u="none" strike="noStrike" baseline="0">
              <a:solidFill>
                <a:srgbClr val="000000"/>
              </a:solidFill>
              <a:latin typeface="Arial"/>
              <a:cs typeface="Arial"/>
            </a:rPr>
            <a:pPr algn="l" rtl="0">
              <a:defRPr sz="1000"/>
            </a:pPr>
            <a:t>12.1kΩ</a:t>
          </a:fld>
          <a:endParaRPr lang="el-GR" sz="1200" b="0" i="0" u="none" strike="noStrike" baseline="0">
            <a:solidFill>
              <a:srgbClr val="000000"/>
            </a:solidFill>
            <a:latin typeface="Arial" pitchFamily="34" charset="0"/>
            <a:cs typeface="Arial" pitchFamily="34" charset="0"/>
          </a:endParaRPr>
        </a:p>
      </xdr:txBody>
    </xdr:sp>
    <xdr:clientData/>
  </xdr:twoCellAnchor>
  <xdr:twoCellAnchor>
    <xdr:from>
      <xdr:col>0</xdr:col>
      <xdr:colOff>95250</xdr:colOff>
      <xdr:row>5</xdr:row>
      <xdr:rowOff>6666</xdr:rowOff>
    </xdr:from>
    <xdr:to>
      <xdr:col>1</xdr:col>
      <xdr:colOff>740109</xdr:colOff>
      <xdr:row>6</xdr:row>
      <xdr:rowOff>133349</xdr:rowOff>
    </xdr:to>
    <xdr:sp macro="" textlink="'Variable Mgmt'!B206">
      <xdr:nvSpPr>
        <xdr:cNvPr id="96" name="Text Box 283">
          <a:extLst>
            <a:ext uri="{FF2B5EF4-FFF2-40B4-BE49-F238E27FC236}">
              <a16:creationId xmlns:a16="http://schemas.microsoft.com/office/drawing/2014/main" id="{00000000-0008-0000-0100-000060000000}"/>
            </a:ext>
          </a:extLst>
        </xdr:cNvPr>
        <xdr:cNvSpPr txBox="1">
          <a:spLocks noChangeArrowheads="1" noTextEdit="1"/>
        </xdr:cNvSpPr>
      </xdr:nvSpPr>
      <xdr:spPr bwMode="auto">
        <a:xfrm>
          <a:off x="95250" y="816291"/>
          <a:ext cx="1283034" cy="288608"/>
        </a:xfrm>
        <a:prstGeom prst="rect">
          <a:avLst/>
        </a:prstGeom>
        <a:noFill/>
        <a:ln w="9525">
          <a:noFill/>
          <a:miter lim="800000"/>
          <a:headEnd/>
          <a:tailEnd/>
        </a:ln>
      </xdr:spPr>
      <xdr:txBody>
        <a:bodyPr vertOverflow="clip" wrap="square" lIns="27432" tIns="22860" rIns="0" bIns="0" anchor="t" upright="1"/>
        <a:lstStyle/>
        <a:p>
          <a:pPr algn="ctr" rtl="0">
            <a:defRPr sz="1000"/>
          </a:pPr>
          <a:fld id="{47315316-35F3-49E7-A4CE-EA42773D1FAE}" type="TxLink">
            <a:rPr lang="en-US" sz="1200" b="1" i="0" u="none" strike="noStrike">
              <a:solidFill>
                <a:srgbClr val="000000"/>
              </a:solidFill>
              <a:latin typeface="Arial"/>
              <a:cs typeface="Arial"/>
            </a:rPr>
            <a:pPr algn="ctr" rtl="0">
              <a:defRPr sz="1000"/>
            </a:pPr>
            <a:t>21.6V...26.4V</a:t>
          </a:fld>
          <a:endParaRPr lang="en-US" sz="1200" b="1" i="0" strike="noStrike">
            <a:solidFill>
              <a:srgbClr val="000000"/>
            </a:solidFill>
            <a:latin typeface="Arial" pitchFamily="34" charset="0"/>
            <a:cs typeface="Arial" pitchFamily="34" charset="0"/>
          </a:endParaRPr>
        </a:p>
      </xdr:txBody>
    </xdr:sp>
    <xdr:clientData/>
  </xdr:twoCellAnchor>
  <xdr:twoCellAnchor>
    <xdr:from>
      <xdr:col>4</xdr:col>
      <xdr:colOff>679229</xdr:colOff>
      <xdr:row>18</xdr:row>
      <xdr:rowOff>149860</xdr:rowOff>
    </xdr:from>
    <xdr:to>
      <xdr:col>4</xdr:col>
      <xdr:colOff>1010101</xdr:colOff>
      <xdr:row>20</xdr:row>
      <xdr:rowOff>77900</xdr:rowOff>
    </xdr:to>
    <xdr:sp macro="" textlink="'Variable Mgmt'!C233">
      <xdr:nvSpPr>
        <xdr:cNvPr id="97" name="Text Box 225">
          <a:extLst>
            <a:ext uri="{FF2B5EF4-FFF2-40B4-BE49-F238E27FC236}">
              <a16:creationId xmlns:a16="http://schemas.microsoft.com/office/drawing/2014/main" id="{00000000-0008-0000-0100-000061000000}"/>
            </a:ext>
          </a:extLst>
        </xdr:cNvPr>
        <xdr:cNvSpPr txBox="1">
          <a:spLocks noChangeArrowheads="1"/>
        </xdr:cNvSpPr>
      </xdr:nvSpPr>
      <xdr:spPr bwMode="auto">
        <a:xfrm>
          <a:off x="4317779" y="3064510"/>
          <a:ext cx="330872" cy="251890"/>
        </a:xfrm>
        <a:prstGeom prst="rect">
          <a:avLst/>
        </a:prstGeom>
        <a:noFill/>
        <a:ln w="9525">
          <a:noFill/>
          <a:miter lim="800000"/>
          <a:headEnd/>
          <a:tailEnd/>
        </a:ln>
      </xdr:spPr>
      <xdr:txBody>
        <a:bodyPr vertOverflow="clip" wrap="square" lIns="27432" tIns="27432" rIns="0" bIns="0" anchor="ctr" upright="1"/>
        <a:lstStyle/>
        <a:p>
          <a:pPr algn="l" rtl="0">
            <a:defRPr sz="1000"/>
          </a:pPr>
          <a:fld id="{C394427D-AAFB-4910-BFD4-26E4AF094E1D}" type="TxLink">
            <a:rPr lang="en-US" sz="1000" b="0" i="0" u="none" strike="noStrike">
              <a:solidFill>
                <a:srgbClr val="000000"/>
              </a:solidFill>
              <a:latin typeface="Arial"/>
              <a:cs typeface="Arial"/>
            </a:rPr>
            <a:pPr algn="l" rtl="0">
              <a:defRPr sz="1000"/>
            </a:pPr>
            <a:t> </a:t>
          </a:fld>
          <a:endParaRPr lang="en-US" sz="1100" b="0" i="0" strike="noStrike" baseline="-25000">
            <a:solidFill>
              <a:srgbClr val="000000"/>
            </a:solidFill>
            <a:latin typeface="Arial" pitchFamily="34" charset="0"/>
            <a:cs typeface="Arial" pitchFamily="34" charset="0"/>
          </a:endParaRPr>
        </a:p>
      </xdr:txBody>
    </xdr:sp>
    <xdr:clientData/>
  </xdr:twoCellAnchor>
  <xdr:twoCellAnchor>
    <xdr:from>
      <xdr:col>4</xdr:col>
      <xdr:colOff>631623</xdr:colOff>
      <xdr:row>20</xdr:row>
      <xdr:rowOff>71205</xdr:rowOff>
    </xdr:from>
    <xdr:to>
      <xdr:col>4</xdr:col>
      <xdr:colOff>1147003</xdr:colOff>
      <xdr:row>21</xdr:row>
      <xdr:rowOff>142012</xdr:rowOff>
    </xdr:to>
    <xdr:sp macro="" textlink="'Variable Mgmt'!B233">
      <xdr:nvSpPr>
        <xdr:cNvPr id="98" name="Text Box 268">
          <a:extLst>
            <a:ext uri="{FF2B5EF4-FFF2-40B4-BE49-F238E27FC236}">
              <a16:creationId xmlns:a16="http://schemas.microsoft.com/office/drawing/2014/main" id="{00000000-0008-0000-0100-000062000000}"/>
            </a:ext>
          </a:extLst>
        </xdr:cNvPr>
        <xdr:cNvSpPr txBox="1">
          <a:spLocks noChangeArrowheads="1" noTextEdit="1"/>
        </xdr:cNvSpPr>
      </xdr:nvSpPr>
      <xdr:spPr bwMode="auto">
        <a:xfrm>
          <a:off x="4270173" y="3309705"/>
          <a:ext cx="515380" cy="232732"/>
        </a:xfrm>
        <a:prstGeom prst="rect">
          <a:avLst/>
        </a:prstGeom>
        <a:noFill/>
        <a:ln w="9525">
          <a:noFill/>
          <a:miter lim="800000"/>
          <a:headEnd/>
          <a:tailEnd/>
        </a:ln>
      </xdr:spPr>
      <xdr:txBody>
        <a:bodyPr vertOverflow="clip" wrap="square" lIns="27432" tIns="22860" rIns="0" bIns="0" anchor="ctr" upright="1"/>
        <a:lstStyle/>
        <a:p>
          <a:pPr algn="l" rtl="0">
            <a:defRPr sz="1000"/>
          </a:pPr>
          <a:fld id="{35437053-6AF1-4CB6-8BC9-CEEF911045AA}" type="TxLink">
            <a:rPr lang="en-US" sz="1100" b="0" i="0" u="none" strike="noStrike">
              <a:solidFill>
                <a:srgbClr val="000000"/>
              </a:solidFill>
              <a:latin typeface="Arial"/>
              <a:cs typeface="Arial"/>
            </a:rPr>
            <a:pPr algn="l" rtl="0">
              <a:defRPr sz="1000"/>
            </a:pPr>
            <a:t> </a:t>
          </a:fld>
          <a:endParaRPr lang="el-GR" sz="1100" b="0" i="0" strike="noStrike">
            <a:solidFill>
              <a:srgbClr val="000000"/>
            </a:solidFill>
            <a:latin typeface="Arial" pitchFamily="34" charset="0"/>
            <a:cs typeface="Arial" pitchFamily="34" charset="0"/>
          </a:endParaRPr>
        </a:p>
      </xdr:txBody>
    </xdr:sp>
    <xdr:clientData/>
  </xdr:twoCellAnchor>
  <xdr:twoCellAnchor>
    <xdr:from>
      <xdr:col>2</xdr:col>
      <xdr:colOff>237557</xdr:colOff>
      <xdr:row>6</xdr:row>
      <xdr:rowOff>57806</xdr:rowOff>
    </xdr:from>
    <xdr:to>
      <xdr:col>2</xdr:col>
      <xdr:colOff>639607</xdr:colOff>
      <xdr:row>7</xdr:row>
      <xdr:rowOff>125922</xdr:rowOff>
    </xdr:to>
    <xdr:sp macro="" textlink="'Variable Mgmt'!C236">
      <xdr:nvSpPr>
        <xdr:cNvPr id="99" name="Text Box 264">
          <a:extLst>
            <a:ext uri="{FF2B5EF4-FFF2-40B4-BE49-F238E27FC236}">
              <a16:creationId xmlns:a16="http://schemas.microsoft.com/office/drawing/2014/main" id="{00000000-0008-0000-0100-000063000000}"/>
            </a:ext>
          </a:extLst>
        </xdr:cNvPr>
        <xdr:cNvSpPr txBox="1">
          <a:spLocks noChangeArrowheads="1" noTextEdit="1"/>
        </xdr:cNvSpPr>
      </xdr:nvSpPr>
      <xdr:spPr bwMode="auto">
        <a:xfrm>
          <a:off x="1637732" y="1029356"/>
          <a:ext cx="402050" cy="230041"/>
        </a:xfrm>
        <a:prstGeom prst="rect">
          <a:avLst/>
        </a:prstGeom>
        <a:noFill/>
        <a:ln w="9525">
          <a:noFill/>
          <a:miter lim="800000"/>
          <a:headEnd/>
          <a:tailEnd/>
        </a:ln>
      </xdr:spPr>
      <xdr:txBody>
        <a:bodyPr vertOverflow="clip" wrap="square" lIns="27432" tIns="22860" rIns="0" bIns="0" anchor="ctr" upright="1"/>
        <a:lstStyle/>
        <a:p>
          <a:pPr algn="l" rtl="0">
            <a:defRPr sz="1000"/>
          </a:pPr>
          <a:fld id="{31380AD2-7EE8-49DF-ADF3-9022D781233D}" type="TxLink">
            <a:rPr lang="en-US" sz="1000" b="0" i="0" u="none" strike="noStrike" baseline="0">
              <a:solidFill>
                <a:srgbClr val="000000"/>
              </a:solidFill>
              <a:latin typeface="Arial"/>
              <a:cs typeface="Arial"/>
            </a:rPr>
            <a:pPr algn="l" rtl="0">
              <a:defRPr sz="1000"/>
            </a:pPr>
            <a:t>Ruv1</a:t>
          </a:fld>
          <a:endParaRPr lang="el-GR" sz="1000" b="0" i="0" u="none" strike="noStrike" baseline="0">
            <a:solidFill>
              <a:srgbClr val="000000"/>
            </a:solidFill>
            <a:latin typeface="Arial" pitchFamily="34" charset="0"/>
            <a:cs typeface="Arial" pitchFamily="34" charset="0"/>
          </a:endParaRPr>
        </a:p>
      </xdr:txBody>
    </xdr:sp>
    <xdr:clientData/>
  </xdr:twoCellAnchor>
  <xdr:twoCellAnchor>
    <xdr:from>
      <xdr:col>2</xdr:col>
      <xdr:colOff>237557</xdr:colOff>
      <xdr:row>12</xdr:row>
      <xdr:rowOff>115234</xdr:rowOff>
    </xdr:from>
    <xdr:to>
      <xdr:col>2</xdr:col>
      <xdr:colOff>661587</xdr:colOff>
      <xdr:row>13</xdr:row>
      <xdr:rowOff>135750</xdr:rowOff>
    </xdr:to>
    <xdr:sp macro="" textlink="'Variable Mgmt'!D236">
      <xdr:nvSpPr>
        <xdr:cNvPr id="100" name="Text Box 264">
          <a:extLst>
            <a:ext uri="{FF2B5EF4-FFF2-40B4-BE49-F238E27FC236}">
              <a16:creationId xmlns:a16="http://schemas.microsoft.com/office/drawing/2014/main" id="{00000000-0008-0000-0100-000064000000}"/>
            </a:ext>
          </a:extLst>
        </xdr:cNvPr>
        <xdr:cNvSpPr txBox="1">
          <a:spLocks noChangeArrowheads="1" noTextEdit="1"/>
        </xdr:cNvSpPr>
      </xdr:nvSpPr>
      <xdr:spPr bwMode="auto">
        <a:xfrm>
          <a:off x="1637732" y="2058334"/>
          <a:ext cx="424030" cy="182441"/>
        </a:xfrm>
        <a:prstGeom prst="rect">
          <a:avLst/>
        </a:prstGeom>
        <a:noFill/>
        <a:ln w="9525">
          <a:noFill/>
          <a:miter lim="800000"/>
          <a:headEnd/>
          <a:tailEnd/>
        </a:ln>
      </xdr:spPr>
      <xdr:txBody>
        <a:bodyPr vertOverflow="clip" wrap="square" lIns="27432" tIns="22860" rIns="0" bIns="0" anchor="ctr" upright="1"/>
        <a:lstStyle/>
        <a:p>
          <a:pPr algn="l" rtl="0">
            <a:defRPr sz="1000"/>
          </a:pPr>
          <a:fld id="{873432C6-E14A-45C8-BEDA-C8EFF8641C5C}" type="TxLink">
            <a:rPr lang="en-US" sz="1000" b="0" i="0" u="none" strike="noStrike" baseline="0">
              <a:solidFill>
                <a:srgbClr val="000000"/>
              </a:solidFill>
              <a:latin typeface="Arial"/>
              <a:cs typeface="Arial"/>
            </a:rPr>
            <a:pPr algn="l" rtl="0">
              <a:defRPr sz="1000"/>
            </a:pPr>
            <a:t>Ruv2</a:t>
          </a:fld>
          <a:endParaRPr lang="el-GR" sz="1000" b="0" i="0" u="none" strike="noStrike" baseline="0">
            <a:solidFill>
              <a:srgbClr val="000000"/>
            </a:solidFill>
            <a:latin typeface="Arial" pitchFamily="34" charset="0"/>
            <a:cs typeface="Arial" pitchFamily="34" charset="0"/>
          </a:endParaRPr>
        </a:p>
      </xdr:txBody>
    </xdr:sp>
    <xdr:clientData/>
  </xdr:twoCellAnchor>
  <xdr:twoCellAnchor>
    <xdr:from>
      <xdr:col>2</xdr:col>
      <xdr:colOff>216427</xdr:colOff>
      <xdr:row>20</xdr:row>
      <xdr:rowOff>331</xdr:rowOff>
    </xdr:from>
    <xdr:to>
      <xdr:col>2</xdr:col>
      <xdr:colOff>660395</xdr:colOff>
      <xdr:row>22</xdr:row>
      <xdr:rowOff>12593</xdr:rowOff>
    </xdr:to>
    <xdr:sp macro="" textlink="'Variable Mgmt'!C246">
      <xdr:nvSpPr>
        <xdr:cNvPr id="101" name="Text Box 281">
          <a:extLst>
            <a:ext uri="{FF2B5EF4-FFF2-40B4-BE49-F238E27FC236}">
              <a16:creationId xmlns:a16="http://schemas.microsoft.com/office/drawing/2014/main" id="{00000000-0008-0000-0100-000065000000}"/>
            </a:ext>
          </a:extLst>
        </xdr:cNvPr>
        <xdr:cNvSpPr txBox="1">
          <a:spLocks noChangeArrowheads="1" noTextEdit="1"/>
        </xdr:cNvSpPr>
      </xdr:nvSpPr>
      <xdr:spPr bwMode="auto">
        <a:xfrm>
          <a:off x="1616602" y="3238831"/>
          <a:ext cx="443968" cy="336112"/>
        </a:xfrm>
        <a:prstGeom prst="rect">
          <a:avLst/>
        </a:prstGeom>
        <a:noFill/>
        <a:ln w="9525">
          <a:noFill/>
          <a:miter lim="800000"/>
          <a:headEnd/>
          <a:tailEnd/>
        </a:ln>
      </xdr:spPr>
      <xdr:txBody>
        <a:bodyPr vertOverflow="clip" wrap="square" lIns="27432" tIns="22860" rIns="0" bIns="0" anchor="ctr" upright="1"/>
        <a:lstStyle/>
        <a:p>
          <a:pPr algn="l" rtl="0">
            <a:defRPr sz="1000"/>
          </a:pPr>
          <a:fld id="{B81C36CF-66FD-4734-B04F-DAE82AF849A9}" type="TxLink">
            <a:rPr lang="en-US" sz="1100" b="0" i="0" u="none" strike="noStrike">
              <a:solidFill>
                <a:srgbClr val="000000"/>
              </a:solidFill>
              <a:latin typeface="Arial"/>
              <a:cs typeface="Arial"/>
            </a:rPr>
            <a:pPr algn="l" rtl="0">
              <a:defRPr sz="1000"/>
            </a:pPr>
            <a:t> </a:t>
          </a:fld>
          <a:endParaRPr lang="en-US" sz="1100" b="0" i="0" strike="noStrike">
            <a:solidFill>
              <a:srgbClr val="000000"/>
            </a:solidFill>
            <a:latin typeface="Arial" pitchFamily="34" charset="0"/>
            <a:cs typeface="Arial" pitchFamily="34" charset="0"/>
          </a:endParaRPr>
        </a:p>
      </xdr:txBody>
    </xdr:sp>
    <xdr:clientData/>
  </xdr:twoCellAnchor>
  <xdr:twoCellAnchor>
    <xdr:from>
      <xdr:col>4</xdr:col>
      <xdr:colOff>682414</xdr:colOff>
      <xdr:row>12</xdr:row>
      <xdr:rowOff>161265</xdr:rowOff>
    </xdr:from>
    <xdr:to>
      <xdr:col>4</xdr:col>
      <xdr:colOff>1005254</xdr:colOff>
      <xdr:row>14</xdr:row>
      <xdr:rowOff>69989</xdr:rowOff>
    </xdr:to>
    <xdr:sp macro="" textlink="">
      <xdr:nvSpPr>
        <xdr:cNvPr id="103" name="Text Box 244">
          <a:extLst>
            <a:ext uri="{FF2B5EF4-FFF2-40B4-BE49-F238E27FC236}">
              <a16:creationId xmlns:a16="http://schemas.microsoft.com/office/drawing/2014/main" id="{00000000-0008-0000-0100-000067000000}"/>
            </a:ext>
          </a:extLst>
        </xdr:cNvPr>
        <xdr:cNvSpPr txBox="1">
          <a:spLocks noChangeArrowheads="1"/>
        </xdr:cNvSpPr>
      </xdr:nvSpPr>
      <xdr:spPr bwMode="auto">
        <a:xfrm>
          <a:off x="4320964" y="2104365"/>
          <a:ext cx="322840" cy="232574"/>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R</a:t>
          </a:r>
          <a:r>
            <a:rPr lang="en-US" sz="1100" b="0" i="0" strike="noStrike" baseline="-25000">
              <a:solidFill>
                <a:srgbClr val="000000"/>
              </a:solidFill>
              <a:latin typeface="Arial" pitchFamily="34" charset="0"/>
              <a:cs typeface="Arial" pitchFamily="34" charset="0"/>
            </a:rPr>
            <a:t>FB</a:t>
          </a:r>
        </a:p>
      </xdr:txBody>
    </xdr:sp>
    <xdr:clientData/>
  </xdr:twoCellAnchor>
  <xdr:twoCellAnchor>
    <xdr:from>
      <xdr:col>5</xdr:col>
      <xdr:colOff>184207</xdr:colOff>
      <xdr:row>19</xdr:row>
      <xdr:rowOff>9801</xdr:rowOff>
    </xdr:from>
    <xdr:to>
      <xdr:col>5</xdr:col>
      <xdr:colOff>571224</xdr:colOff>
      <xdr:row>20</xdr:row>
      <xdr:rowOff>81258</xdr:rowOff>
    </xdr:to>
    <xdr:sp macro="" textlink="">
      <xdr:nvSpPr>
        <xdr:cNvPr id="104" name="Text Box 244">
          <a:extLst>
            <a:ext uri="{FF2B5EF4-FFF2-40B4-BE49-F238E27FC236}">
              <a16:creationId xmlns:a16="http://schemas.microsoft.com/office/drawing/2014/main" id="{00000000-0008-0000-0100-000068000000}"/>
            </a:ext>
          </a:extLst>
        </xdr:cNvPr>
        <xdr:cNvSpPr txBox="1">
          <a:spLocks noChangeArrowheads="1"/>
        </xdr:cNvSpPr>
      </xdr:nvSpPr>
      <xdr:spPr bwMode="auto">
        <a:xfrm>
          <a:off x="4975282" y="3086376"/>
          <a:ext cx="387017" cy="233382"/>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R</a:t>
          </a:r>
          <a:r>
            <a:rPr lang="en-US" sz="1100" b="0" i="0" strike="noStrike" baseline="-25000">
              <a:solidFill>
                <a:srgbClr val="000000"/>
              </a:solidFill>
              <a:latin typeface="Arial" pitchFamily="34" charset="0"/>
              <a:cs typeface="Arial" pitchFamily="34" charset="0"/>
            </a:rPr>
            <a:t>SET</a:t>
          </a:r>
        </a:p>
      </xdr:txBody>
    </xdr:sp>
    <xdr:clientData/>
  </xdr:twoCellAnchor>
  <xdr:twoCellAnchor>
    <xdr:from>
      <xdr:col>4</xdr:col>
      <xdr:colOff>216702</xdr:colOff>
      <xdr:row>5</xdr:row>
      <xdr:rowOff>7931</xdr:rowOff>
    </xdr:from>
    <xdr:to>
      <xdr:col>4</xdr:col>
      <xdr:colOff>680586</xdr:colOff>
      <xdr:row>6</xdr:row>
      <xdr:rowOff>105017</xdr:rowOff>
    </xdr:to>
    <xdr:sp macro="" textlink="">
      <xdr:nvSpPr>
        <xdr:cNvPr id="105" name="Text Box 235">
          <a:extLst>
            <a:ext uri="{FF2B5EF4-FFF2-40B4-BE49-F238E27FC236}">
              <a16:creationId xmlns:a16="http://schemas.microsoft.com/office/drawing/2014/main" id="{00000000-0008-0000-0100-000069000000}"/>
            </a:ext>
          </a:extLst>
        </xdr:cNvPr>
        <xdr:cNvSpPr txBox="1">
          <a:spLocks noChangeArrowheads="1"/>
        </xdr:cNvSpPr>
      </xdr:nvSpPr>
      <xdr:spPr bwMode="auto">
        <a:xfrm>
          <a:off x="3855252" y="817556"/>
          <a:ext cx="463884" cy="259011"/>
        </a:xfrm>
        <a:prstGeom prst="rect">
          <a:avLst/>
        </a:prstGeom>
        <a:noFill/>
        <a:ln w="9525">
          <a:noFill/>
          <a:miter lim="800000"/>
          <a:headEnd/>
          <a:tailEnd/>
        </a:ln>
      </xdr:spPr>
      <xdr:txBody>
        <a:bodyPr vertOverflow="clip" wrap="square" lIns="27432" tIns="27432" rIns="0" bIns="0" anchor="ctr" upright="1"/>
        <a:lstStyle/>
        <a:p>
          <a:pPr algn="l" rtl="0">
            <a:defRPr sz="1000"/>
          </a:pPr>
          <a:r>
            <a:rPr lang="en-US" sz="1100" b="0" i="0" strike="noStrike">
              <a:solidFill>
                <a:srgbClr val="000000"/>
              </a:solidFill>
              <a:latin typeface="Arial" pitchFamily="34" charset="0"/>
              <a:cs typeface="Arial" pitchFamily="34" charset="0"/>
            </a:rPr>
            <a:t>D</a:t>
          </a:r>
          <a:r>
            <a:rPr lang="en-US" sz="1100" b="0" i="0" strike="noStrike" baseline="-25000">
              <a:solidFill>
                <a:srgbClr val="000000"/>
              </a:solidFill>
              <a:latin typeface="Arial" pitchFamily="34" charset="0"/>
              <a:cs typeface="Arial" pitchFamily="34" charset="0"/>
            </a:rPr>
            <a:t>CLAMP</a:t>
          </a:r>
        </a:p>
      </xdr:txBody>
    </xdr:sp>
    <xdr:clientData/>
  </xdr:twoCellAnchor>
  <xdr:twoCellAnchor>
    <xdr:from>
      <xdr:col>4</xdr:col>
      <xdr:colOff>501318</xdr:colOff>
      <xdr:row>9</xdr:row>
      <xdr:rowOff>20387</xdr:rowOff>
    </xdr:from>
    <xdr:to>
      <xdr:col>4</xdr:col>
      <xdr:colOff>770618</xdr:colOff>
      <xdr:row>10</xdr:row>
      <xdr:rowOff>119671</xdr:rowOff>
    </xdr:to>
    <xdr:sp macro="" textlink="">
      <xdr:nvSpPr>
        <xdr:cNvPr id="126" name="Text Box 235">
          <a:extLst>
            <a:ext uri="{FF2B5EF4-FFF2-40B4-BE49-F238E27FC236}">
              <a16:creationId xmlns:a16="http://schemas.microsoft.com/office/drawing/2014/main" id="{00000000-0008-0000-0100-00007E000000}"/>
            </a:ext>
          </a:extLst>
        </xdr:cNvPr>
        <xdr:cNvSpPr txBox="1">
          <a:spLocks noChangeArrowheads="1"/>
        </xdr:cNvSpPr>
      </xdr:nvSpPr>
      <xdr:spPr bwMode="auto">
        <a:xfrm>
          <a:off x="4139868" y="1477712"/>
          <a:ext cx="269300" cy="261209"/>
        </a:xfrm>
        <a:prstGeom prst="rect">
          <a:avLst/>
        </a:prstGeom>
        <a:noFill/>
        <a:ln w="9525">
          <a:noFill/>
          <a:miter lim="800000"/>
          <a:headEnd/>
          <a:tailEnd/>
        </a:ln>
      </xdr:spPr>
      <xdr:txBody>
        <a:bodyPr vertOverflow="clip" wrap="square" lIns="27432" tIns="27432" rIns="0" bIns="0" anchor="ctr" upright="1"/>
        <a:lstStyle/>
        <a:p>
          <a:pPr algn="l" rtl="0">
            <a:defRPr sz="1000"/>
          </a:pPr>
          <a:r>
            <a:rPr lang="en-US" sz="1100" b="0" i="0" strike="noStrike">
              <a:solidFill>
                <a:srgbClr val="000000"/>
              </a:solidFill>
              <a:latin typeface="Arial" pitchFamily="34" charset="0"/>
              <a:cs typeface="Arial" pitchFamily="34" charset="0"/>
            </a:rPr>
            <a:t>D</a:t>
          </a:r>
          <a:r>
            <a:rPr lang="en-US" sz="1100" b="0" i="0" strike="noStrike" baseline="-25000">
              <a:solidFill>
                <a:srgbClr val="000000"/>
              </a:solidFill>
              <a:latin typeface="Arial" pitchFamily="34" charset="0"/>
              <a:cs typeface="Arial" pitchFamily="34" charset="0"/>
            </a:rPr>
            <a:t>F</a:t>
          </a:r>
        </a:p>
      </xdr:txBody>
    </xdr:sp>
    <xdr:clientData/>
  </xdr:twoCellAnchor>
  <xdr:twoCellAnchor>
    <xdr:from>
      <xdr:col>5</xdr:col>
      <xdr:colOff>142399</xdr:colOff>
      <xdr:row>8</xdr:row>
      <xdr:rowOff>104775</xdr:rowOff>
    </xdr:from>
    <xdr:to>
      <xdr:col>5</xdr:col>
      <xdr:colOff>790575</xdr:colOff>
      <xdr:row>10</xdr:row>
      <xdr:rowOff>0</xdr:rowOff>
    </xdr:to>
    <xdr:sp macro="" textlink="'Variable Mgmt'!B201">
      <xdr:nvSpPr>
        <xdr:cNvPr id="127" name="Text Box 265">
          <a:extLst>
            <a:ext uri="{FF2B5EF4-FFF2-40B4-BE49-F238E27FC236}">
              <a16:creationId xmlns:a16="http://schemas.microsoft.com/office/drawing/2014/main" id="{00000000-0008-0000-0100-00007F000000}"/>
            </a:ext>
          </a:extLst>
        </xdr:cNvPr>
        <xdr:cNvSpPr txBox="1">
          <a:spLocks noChangeArrowheads="1" noTextEdit="1"/>
        </xdr:cNvSpPr>
      </xdr:nvSpPr>
      <xdr:spPr bwMode="auto">
        <a:xfrm>
          <a:off x="4933474" y="1400175"/>
          <a:ext cx="648176" cy="219075"/>
        </a:xfrm>
        <a:prstGeom prst="rect">
          <a:avLst/>
        </a:prstGeom>
        <a:noFill/>
        <a:ln w="9525">
          <a:noFill/>
          <a:miter lim="800000"/>
          <a:headEnd/>
          <a:tailEnd/>
        </a:ln>
      </xdr:spPr>
      <xdr:txBody>
        <a:bodyPr vertOverflow="clip" wrap="square" lIns="27432" tIns="22860" rIns="0" bIns="0" anchor="t" upright="1"/>
        <a:lstStyle/>
        <a:p>
          <a:pPr algn="ctr" rtl="0">
            <a:defRPr sz="1000"/>
          </a:pPr>
          <a:fld id="{4DF3E085-FEDD-406F-9003-D894075812A3}" type="TxLink">
            <a:rPr lang="en-US" sz="1000" b="0" i="0" u="none" strike="noStrike" baseline="0">
              <a:solidFill>
                <a:srgbClr val="000000"/>
              </a:solidFill>
              <a:latin typeface="Arial"/>
              <a:cs typeface="Arial"/>
            </a:rPr>
            <a:pPr algn="ctr" rtl="0">
              <a:defRPr sz="1000"/>
            </a:pPr>
            <a:t>2 : 1</a:t>
          </a:fld>
          <a:endParaRPr lang="el-GR" sz="1200" b="0" i="0" u="none" strike="noStrike" baseline="0">
            <a:solidFill>
              <a:srgbClr val="000000"/>
            </a:solidFill>
            <a:latin typeface="Arial" pitchFamily="34" charset="0"/>
            <a:cs typeface="Arial" pitchFamily="34" charset="0"/>
          </a:endParaRPr>
        </a:p>
      </xdr:txBody>
    </xdr:sp>
    <xdr:clientData/>
  </xdr:twoCellAnchor>
  <xdr:twoCellAnchor>
    <xdr:from>
      <xdr:col>7</xdr:col>
      <xdr:colOff>288063</xdr:colOff>
      <xdr:row>11</xdr:row>
      <xdr:rowOff>136547</xdr:rowOff>
    </xdr:from>
    <xdr:to>
      <xdr:col>7</xdr:col>
      <xdr:colOff>954457</xdr:colOff>
      <xdr:row>13</xdr:row>
      <xdr:rowOff>159326</xdr:rowOff>
    </xdr:to>
    <xdr:sp macro="" textlink="'Variable Mgmt'!B209">
      <xdr:nvSpPr>
        <xdr:cNvPr id="128" name="Text Box 285">
          <a:extLst>
            <a:ext uri="{FF2B5EF4-FFF2-40B4-BE49-F238E27FC236}">
              <a16:creationId xmlns:a16="http://schemas.microsoft.com/office/drawing/2014/main" id="{00000000-0008-0000-0100-000080000000}"/>
            </a:ext>
          </a:extLst>
        </xdr:cNvPr>
        <xdr:cNvSpPr txBox="1">
          <a:spLocks noChangeArrowheads="1" noTextEdit="1"/>
        </xdr:cNvSpPr>
      </xdr:nvSpPr>
      <xdr:spPr bwMode="auto">
        <a:xfrm>
          <a:off x="7060338" y="1917722"/>
          <a:ext cx="666394" cy="346629"/>
        </a:xfrm>
        <a:prstGeom prst="rect">
          <a:avLst/>
        </a:prstGeom>
        <a:noFill/>
        <a:ln w="9525">
          <a:noFill/>
          <a:miter lim="800000"/>
          <a:headEnd/>
          <a:tailEnd/>
        </a:ln>
      </xdr:spPr>
      <xdr:txBody>
        <a:bodyPr vertOverflow="clip" wrap="square" lIns="27432" tIns="22860" rIns="0" bIns="0" anchor="ctr" upright="1"/>
        <a:lstStyle/>
        <a:p>
          <a:pPr algn="l" rtl="0">
            <a:defRPr sz="1000"/>
          </a:pPr>
          <a:fld id="{1EB32AF4-7354-4114-B6DF-5AD8FEB0166D}" type="TxLink">
            <a:rPr lang="en-US" sz="1350" b="1" i="0" u="none" strike="noStrike" baseline="0">
              <a:solidFill>
                <a:srgbClr val="FF0000"/>
              </a:solidFill>
              <a:latin typeface="Arial"/>
              <a:cs typeface="Arial"/>
            </a:rPr>
            <a:pPr algn="l" rtl="0">
              <a:defRPr sz="1000"/>
            </a:pPr>
            <a:t> </a:t>
          </a:fld>
          <a:endParaRPr lang="en-US" sz="1350" b="1" i="0" u="none" strike="noStrike" baseline="0">
            <a:solidFill>
              <a:srgbClr val="FF0000"/>
            </a:solidFill>
            <a:latin typeface="Arial" pitchFamily="34" charset="0"/>
            <a:cs typeface="Arial" pitchFamily="34" charset="0"/>
          </a:endParaRPr>
        </a:p>
      </xdr:txBody>
    </xdr:sp>
    <xdr:clientData/>
  </xdr:twoCellAnchor>
  <xdr:twoCellAnchor>
    <xdr:from>
      <xdr:col>7</xdr:col>
      <xdr:colOff>133350</xdr:colOff>
      <xdr:row>13</xdr:row>
      <xdr:rowOff>74511</xdr:rowOff>
    </xdr:from>
    <xdr:to>
      <xdr:col>7</xdr:col>
      <xdr:colOff>733425</xdr:colOff>
      <xdr:row>15</xdr:row>
      <xdr:rowOff>54951</xdr:rowOff>
    </xdr:to>
    <xdr:sp macro="" textlink="'Variable Mgmt'!B264">
      <xdr:nvSpPr>
        <xdr:cNvPr id="129" name="Text Box 286">
          <a:extLst>
            <a:ext uri="{FF2B5EF4-FFF2-40B4-BE49-F238E27FC236}">
              <a16:creationId xmlns:a16="http://schemas.microsoft.com/office/drawing/2014/main" id="{00000000-0008-0000-0100-000081000000}"/>
            </a:ext>
          </a:extLst>
        </xdr:cNvPr>
        <xdr:cNvSpPr txBox="1">
          <a:spLocks noChangeArrowheads="1" noTextEdit="1"/>
        </xdr:cNvSpPr>
      </xdr:nvSpPr>
      <xdr:spPr bwMode="auto">
        <a:xfrm>
          <a:off x="6905625" y="2179536"/>
          <a:ext cx="600075" cy="304290"/>
        </a:xfrm>
        <a:prstGeom prst="rect">
          <a:avLst/>
        </a:prstGeom>
        <a:noFill/>
        <a:ln w="9525">
          <a:noFill/>
          <a:miter lim="800000"/>
          <a:headEnd/>
          <a:tailEnd/>
        </a:ln>
      </xdr:spPr>
      <xdr:txBody>
        <a:bodyPr vertOverflow="clip" wrap="square" lIns="27432" tIns="22860" rIns="0" bIns="0" anchor="ctr" upright="1"/>
        <a:lstStyle/>
        <a:p>
          <a:pPr algn="ctr" rtl="0">
            <a:defRPr sz="1000"/>
          </a:pPr>
          <a:fld id="{F430775D-5566-4B2B-9D86-4FABD1E02F13}" type="TxLink">
            <a:rPr lang="en-US" sz="1350" b="1" i="0" u="none" strike="noStrike">
              <a:solidFill>
                <a:srgbClr val="FF0000"/>
              </a:solidFill>
              <a:latin typeface="Arial"/>
              <a:cs typeface="Arial"/>
            </a:rPr>
            <a:pPr algn="ctr" rtl="0">
              <a:defRPr sz="1000"/>
            </a:pPr>
            <a:t> </a:t>
          </a:fld>
          <a:endParaRPr lang="en-US" sz="1350" b="1" i="0" strike="noStrike">
            <a:solidFill>
              <a:srgbClr val="FF0000"/>
            </a:solidFill>
            <a:latin typeface="Arial" pitchFamily="34" charset="0"/>
            <a:cs typeface="Arial" pitchFamily="34" charset="0"/>
          </a:endParaRPr>
        </a:p>
      </xdr:txBody>
    </xdr:sp>
    <xdr:clientData/>
  </xdr:twoCellAnchor>
  <xdr:twoCellAnchor>
    <xdr:from>
      <xdr:col>7</xdr:col>
      <xdr:colOff>278538</xdr:colOff>
      <xdr:row>14</xdr:row>
      <xdr:rowOff>146072</xdr:rowOff>
    </xdr:from>
    <xdr:to>
      <xdr:col>7</xdr:col>
      <xdr:colOff>944932</xdr:colOff>
      <xdr:row>17</xdr:row>
      <xdr:rowOff>6926</xdr:rowOff>
    </xdr:to>
    <xdr:sp macro="" textlink="'Variable Mgmt'!B210">
      <xdr:nvSpPr>
        <xdr:cNvPr id="130" name="Text Box 285">
          <a:extLst>
            <a:ext uri="{FF2B5EF4-FFF2-40B4-BE49-F238E27FC236}">
              <a16:creationId xmlns:a16="http://schemas.microsoft.com/office/drawing/2014/main" id="{00000000-0008-0000-0100-000082000000}"/>
            </a:ext>
          </a:extLst>
        </xdr:cNvPr>
        <xdr:cNvSpPr txBox="1">
          <a:spLocks noChangeArrowheads="1" noTextEdit="1"/>
        </xdr:cNvSpPr>
      </xdr:nvSpPr>
      <xdr:spPr bwMode="auto">
        <a:xfrm>
          <a:off x="7050813" y="2413022"/>
          <a:ext cx="666394" cy="346629"/>
        </a:xfrm>
        <a:prstGeom prst="rect">
          <a:avLst/>
        </a:prstGeom>
        <a:noFill/>
        <a:ln w="9525">
          <a:noFill/>
          <a:miter lim="800000"/>
          <a:headEnd/>
          <a:tailEnd/>
        </a:ln>
      </xdr:spPr>
      <xdr:txBody>
        <a:bodyPr vertOverflow="clip" wrap="square" lIns="27432" tIns="22860" rIns="0" bIns="0" anchor="ctr" upright="1"/>
        <a:lstStyle/>
        <a:p>
          <a:pPr algn="l" rtl="0">
            <a:defRPr sz="1000"/>
          </a:pPr>
          <a:fld id="{6CC6AC32-C574-4CE6-AE26-39476DAD0777}" type="TxLink">
            <a:rPr lang="en-US" sz="1350" b="1" i="0" u="none" strike="noStrike" baseline="0">
              <a:solidFill>
                <a:srgbClr val="FF0000"/>
              </a:solidFill>
              <a:latin typeface="Arial"/>
              <a:cs typeface="Arial"/>
            </a:rPr>
            <a:pPr algn="l" rtl="0">
              <a:defRPr sz="1000"/>
            </a:pPr>
            <a:t> </a:t>
          </a:fld>
          <a:endParaRPr lang="en-US" sz="1350" b="1" i="0" u="none" strike="noStrike" baseline="0">
            <a:solidFill>
              <a:srgbClr val="FF0000"/>
            </a:solidFill>
            <a:latin typeface="Arial" pitchFamily="34" charset="0"/>
            <a:cs typeface="Arial" pitchFamily="34" charset="0"/>
          </a:endParaRPr>
        </a:p>
      </xdr:txBody>
    </xdr:sp>
    <xdr:clientData/>
  </xdr:twoCellAnchor>
  <xdr:twoCellAnchor>
    <xdr:from>
      <xdr:col>7</xdr:col>
      <xdr:colOff>105866</xdr:colOff>
      <xdr:row>16</xdr:row>
      <xdr:rowOff>84036</xdr:rowOff>
    </xdr:from>
    <xdr:to>
      <xdr:col>7</xdr:col>
      <xdr:colOff>859940</xdr:colOff>
      <xdr:row>18</xdr:row>
      <xdr:rowOff>64476</xdr:rowOff>
    </xdr:to>
    <xdr:sp macro="" textlink="'Variable Mgmt'!B265">
      <xdr:nvSpPr>
        <xdr:cNvPr id="131" name="Text Box 286">
          <a:extLst>
            <a:ext uri="{FF2B5EF4-FFF2-40B4-BE49-F238E27FC236}">
              <a16:creationId xmlns:a16="http://schemas.microsoft.com/office/drawing/2014/main" id="{00000000-0008-0000-0100-000083000000}"/>
            </a:ext>
          </a:extLst>
        </xdr:cNvPr>
        <xdr:cNvSpPr txBox="1">
          <a:spLocks noChangeArrowheads="1" noTextEdit="1"/>
        </xdr:cNvSpPr>
      </xdr:nvSpPr>
      <xdr:spPr bwMode="auto">
        <a:xfrm>
          <a:off x="6878141" y="2674836"/>
          <a:ext cx="754074" cy="304290"/>
        </a:xfrm>
        <a:prstGeom prst="rect">
          <a:avLst/>
        </a:prstGeom>
        <a:noFill/>
        <a:ln w="9525">
          <a:noFill/>
          <a:miter lim="800000"/>
          <a:headEnd/>
          <a:tailEnd/>
        </a:ln>
      </xdr:spPr>
      <xdr:txBody>
        <a:bodyPr vertOverflow="clip" wrap="square" lIns="27432" tIns="22860" rIns="0" bIns="0" anchor="ctr" upright="1"/>
        <a:lstStyle/>
        <a:p>
          <a:pPr algn="ctr" rtl="0">
            <a:defRPr sz="1000"/>
          </a:pPr>
          <a:fld id="{21AE0BE5-7426-43AE-A5A8-768A4DEE6C58}" type="TxLink">
            <a:rPr lang="en-US" sz="1350" b="1" i="0" u="none" strike="noStrike">
              <a:solidFill>
                <a:srgbClr val="FF0000"/>
              </a:solidFill>
              <a:latin typeface="Arial"/>
              <a:cs typeface="Arial"/>
            </a:rPr>
            <a:pPr algn="ctr" rtl="0">
              <a:defRPr sz="1000"/>
            </a:pPr>
            <a:t> </a:t>
          </a:fld>
          <a:endParaRPr lang="en-US" sz="1350" b="1" i="0" strike="noStrike">
            <a:solidFill>
              <a:srgbClr val="FF0000"/>
            </a:solidFill>
            <a:latin typeface="Arial" pitchFamily="34" charset="0"/>
            <a:cs typeface="Arial" pitchFamily="34" charset="0"/>
          </a:endParaRPr>
        </a:p>
      </xdr:txBody>
    </xdr:sp>
    <xdr:clientData/>
  </xdr:twoCellAnchor>
  <xdr:twoCellAnchor>
    <xdr:from>
      <xdr:col>6</xdr:col>
      <xdr:colOff>847596</xdr:colOff>
      <xdr:row>13</xdr:row>
      <xdr:rowOff>111234</xdr:rowOff>
    </xdr:from>
    <xdr:to>
      <xdr:col>7</xdr:col>
      <xdr:colOff>265709</xdr:colOff>
      <xdr:row>14</xdr:row>
      <xdr:rowOff>132474</xdr:rowOff>
    </xdr:to>
    <xdr:sp macro="" textlink="'Variable Mgmt'!D213">
      <xdr:nvSpPr>
        <xdr:cNvPr id="132" name="Text Box 267">
          <a:extLst>
            <a:ext uri="{FF2B5EF4-FFF2-40B4-BE49-F238E27FC236}">
              <a16:creationId xmlns:a16="http://schemas.microsoft.com/office/drawing/2014/main" id="{00000000-0008-0000-0100-000084000000}"/>
            </a:ext>
          </a:extLst>
        </xdr:cNvPr>
        <xdr:cNvSpPr txBox="1">
          <a:spLocks noChangeArrowheads="1" noTextEdit="1"/>
        </xdr:cNvSpPr>
      </xdr:nvSpPr>
      <xdr:spPr bwMode="auto">
        <a:xfrm>
          <a:off x="6543546" y="2216259"/>
          <a:ext cx="494438" cy="183165"/>
        </a:xfrm>
        <a:prstGeom prst="rect">
          <a:avLst/>
        </a:prstGeom>
        <a:noFill/>
        <a:ln w="9525">
          <a:noFill/>
          <a:miter lim="800000"/>
          <a:headEnd/>
          <a:tailEnd/>
        </a:ln>
      </xdr:spPr>
      <xdr:txBody>
        <a:bodyPr vertOverflow="clip" wrap="square" lIns="27432" tIns="22860" rIns="0" bIns="0" anchor="ctr" upright="1"/>
        <a:lstStyle/>
        <a:p>
          <a:pPr algn="l" rtl="0">
            <a:defRPr sz="1000"/>
          </a:pPr>
          <a:fld id="{1BBBBB7F-554B-4BC8-BF86-B8FB4EA76457}" type="TxLink">
            <a:rPr lang="en-US" sz="1100" b="0" i="0" u="none" strike="noStrike" baseline="0">
              <a:solidFill>
                <a:srgbClr val="000000"/>
              </a:solidFill>
              <a:latin typeface="Arial"/>
              <a:cs typeface="Arial"/>
            </a:rPr>
            <a:pPr algn="l" rtl="0">
              <a:defRPr sz="1000"/>
            </a:pPr>
            <a:t> </a:t>
          </a:fld>
          <a:endParaRPr lang="en-US" sz="1100" b="0" i="0" u="none" strike="noStrike" baseline="0">
            <a:solidFill>
              <a:srgbClr val="000000"/>
            </a:solidFill>
            <a:latin typeface="Arial" pitchFamily="34" charset="0"/>
            <a:cs typeface="Arial" pitchFamily="34" charset="0"/>
          </a:endParaRPr>
        </a:p>
      </xdr:txBody>
    </xdr:sp>
    <xdr:clientData/>
  </xdr:twoCellAnchor>
  <xdr:twoCellAnchor>
    <xdr:from>
      <xdr:col>6</xdr:col>
      <xdr:colOff>847596</xdr:colOff>
      <xdr:row>16</xdr:row>
      <xdr:rowOff>35034</xdr:rowOff>
    </xdr:from>
    <xdr:to>
      <xdr:col>7</xdr:col>
      <xdr:colOff>265709</xdr:colOff>
      <xdr:row>17</xdr:row>
      <xdr:rowOff>56274</xdr:rowOff>
    </xdr:to>
    <xdr:sp macro="" textlink="'Variable Mgmt'!C213">
      <xdr:nvSpPr>
        <xdr:cNvPr id="133" name="Text Box 267">
          <a:extLst>
            <a:ext uri="{FF2B5EF4-FFF2-40B4-BE49-F238E27FC236}">
              <a16:creationId xmlns:a16="http://schemas.microsoft.com/office/drawing/2014/main" id="{00000000-0008-0000-0100-000085000000}"/>
            </a:ext>
          </a:extLst>
        </xdr:cNvPr>
        <xdr:cNvSpPr txBox="1">
          <a:spLocks noChangeArrowheads="1" noTextEdit="1"/>
        </xdr:cNvSpPr>
      </xdr:nvSpPr>
      <xdr:spPr bwMode="auto">
        <a:xfrm>
          <a:off x="6543546" y="2625834"/>
          <a:ext cx="494438" cy="183165"/>
        </a:xfrm>
        <a:prstGeom prst="rect">
          <a:avLst/>
        </a:prstGeom>
        <a:noFill/>
        <a:ln w="9525">
          <a:noFill/>
          <a:miter lim="800000"/>
          <a:headEnd/>
          <a:tailEnd/>
        </a:ln>
      </xdr:spPr>
      <xdr:txBody>
        <a:bodyPr vertOverflow="clip" wrap="square" lIns="27432" tIns="22860" rIns="0" bIns="0" anchor="ctr" upright="1"/>
        <a:lstStyle/>
        <a:p>
          <a:pPr algn="l" rtl="0">
            <a:defRPr sz="1000"/>
          </a:pPr>
          <a:fld id="{EB8BEA1C-AFA8-40F4-BE4F-A41F4D085390}" type="TxLink">
            <a:rPr lang="en-US" sz="1100" b="0" i="0" u="none" strike="noStrike" baseline="0">
              <a:solidFill>
                <a:srgbClr val="000000"/>
              </a:solidFill>
              <a:latin typeface="Arial"/>
              <a:cs typeface="Arial"/>
            </a:rPr>
            <a:pPr algn="l" rtl="0">
              <a:defRPr sz="1000"/>
            </a:pPr>
            <a:t> </a:t>
          </a:fld>
          <a:endParaRPr lang="en-US" sz="1400" b="0" i="0" u="none" strike="noStrike" baseline="0">
            <a:solidFill>
              <a:srgbClr val="000000"/>
            </a:solidFill>
            <a:latin typeface="Arial" pitchFamily="34" charset="0"/>
            <a:cs typeface="Arial" pitchFamily="34" charset="0"/>
          </a:endParaRPr>
        </a:p>
      </xdr:txBody>
    </xdr:sp>
    <xdr:clientData/>
  </xdr:twoCellAnchor>
  <xdr:twoCellAnchor>
    <xdr:from>
      <xdr:col>5</xdr:col>
      <xdr:colOff>262430</xdr:colOff>
      <xdr:row>2</xdr:row>
      <xdr:rowOff>13969</xdr:rowOff>
    </xdr:from>
    <xdr:to>
      <xdr:col>5</xdr:col>
      <xdr:colOff>585270</xdr:colOff>
      <xdr:row>3</xdr:row>
      <xdr:rowOff>86083</xdr:rowOff>
    </xdr:to>
    <xdr:sp macro="" textlink="">
      <xdr:nvSpPr>
        <xdr:cNvPr id="134" name="Text Box 244">
          <a:extLst>
            <a:ext uri="{FF2B5EF4-FFF2-40B4-BE49-F238E27FC236}">
              <a16:creationId xmlns:a16="http://schemas.microsoft.com/office/drawing/2014/main" id="{00000000-0008-0000-0100-000086000000}"/>
            </a:ext>
          </a:extLst>
        </xdr:cNvPr>
        <xdr:cNvSpPr txBox="1">
          <a:spLocks noChangeArrowheads="1"/>
        </xdr:cNvSpPr>
      </xdr:nvSpPr>
      <xdr:spPr bwMode="auto">
        <a:xfrm>
          <a:off x="5053505" y="337819"/>
          <a:ext cx="322840" cy="234039"/>
        </a:xfrm>
        <a:prstGeom prst="rect">
          <a:avLst/>
        </a:prstGeom>
        <a:noFill/>
        <a:ln w="9525">
          <a:noFill/>
          <a:miter lim="800000"/>
          <a:headEnd/>
          <a:tailEnd/>
        </a:ln>
      </xdr:spPr>
      <xdr:txBody>
        <a:bodyPr vertOverflow="clip" wrap="square" lIns="27432" tIns="27432" rIns="0" bIns="0" anchor="t" upright="1"/>
        <a:lstStyle/>
        <a:p>
          <a:pPr algn="ctr" rtl="0">
            <a:defRPr sz="1000"/>
          </a:pPr>
          <a:r>
            <a:rPr lang="en-US" sz="1100" b="0" i="0" strike="noStrike">
              <a:solidFill>
                <a:srgbClr val="000000"/>
              </a:solidFill>
              <a:latin typeface="Arial" pitchFamily="34" charset="0"/>
              <a:cs typeface="Arial" pitchFamily="34" charset="0"/>
            </a:rPr>
            <a:t>T</a:t>
          </a:r>
          <a:r>
            <a:rPr lang="en-US" sz="1100" b="0" i="0" strike="noStrike" baseline="-25000">
              <a:solidFill>
                <a:srgbClr val="000000"/>
              </a:solidFill>
              <a:latin typeface="Arial" pitchFamily="34" charset="0"/>
              <a:cs typeface="Arial" pitchFamily="34" charset="0"/>
            </a:rPr>
            <a:t>1</a:t>
          </a:r>
        </a:p>
      </xdr:txBody>
    </xdr:sp>
    <xdr:clientData/>
  </xdr:twoCellAnchor>
  <mc:AlternateContent xmlns:mc="http://schemas.openxmlformats.org/markup-compatibility/2006">
    <mc:Choice xmlns:a14="http://schemas.microsoft.com/office/drawing/2010/main" Requires="a14">
      <xdr:twoCellAnchor editAs="oneCell">
        <xdr:from>
          <xdr:col>5</xdr:col>
          <xdr:colOff>895350</xdr:colOff>
          <xdr:row>32</xdr:row>
          <xdr:rowOff>9525</xdr:rowOff>
        </xdr:from>
        <xdr:to>
          <xdr:col>6</xdr:col>
          <xdr:colOff>866775</xdr:colOff>
          <xdr:row>33</xdr:row>
          <xdr:rowOff>0</xdr:rowOff>
        </xdr:to>
        <xdr:sp macro="" textlink="">
          <xdr:nvSpPr>
            <xdr:cNvPr id="706019" name="Drop Down 1507" hidden="1">
              <a:extLst>
                <a:ext uri="{63B3BB69-23CF-44E3-9099-C40C66FF867C}">
                  <a14:compatExt spid="_x0000_s706019"/>
                </a:ext>
                <a:ext uri="{FF2B5EF4-FFF2-40B4-BE49-F238E27FC236}">
                  <a16:creationId xmlns:a16="http://schemas.microsoft.com/office/drawing/2014/main" id="{00000000-0008-0000-0100-0000E3C5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382642</xdr:colOff>
      <xdr:row>7</xdr:row>
      <xdr:rowOff>137794</xdr:rowOff>
    </xdr:from>
    <xdr:to>
      <xdr:col>3</xdr:col>
      <xdr:colOff>705482</xdr:colOff>
      <xdr:row>9</xdr:row>
      <xdr:rowOff>47983</xdr:rowOff>
    </xdr:to>
    <xdr:sp macro="" textlink="">
      <xdr:nvSpPr>
        <xdr:cNvPr id="47" name="Text Box 244">
          <a:extLst>
            <a:ext uri="{FF2B5EF4-FFF2-40B4-BE49-F238E27FC236}">
              <a16:creationId xmlns:a16="http://schemas.microsoft.com/office/drawing/2014/main" id="{00000000-0008-0000-0100-00002F000000}"/>
            </a:ext>
          </a:extLst>
        </xdr:cNvPr>
        <xdr:cNvSpPr txBox="1">
          <a:spLocks noChangeArrowheads="1"/>
        </xdr:cNvSpPr>
      </xdr:nvSpPr>
      <xdr:spPr bwMode="auto">
        <a:xfrm>
          <a:off x="2678167" y="1271269"/>
          <a:ext cx="322840" cy="234039"/>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strike="noStrike">
              <a:solidFill>
                <a:srgbClr val="000000"/>
              </a:solidFill>
              <a:latin typeface="Arial" pitchFamily="34" charset="0"/>
              <a:cs typeface="Arial" pitchFamily="34" charset="0"/>
            </a:rPr>
            <a:t>U</a:t>
          </a:r>
          <a:r>
            <a:rPr lang="en-US" sz="1100" b="0" i="0" strike="noStrike" baseline="-25000">
              <a:solidFill>
                <a:srgbClr val="000000"/>
              </a:solidFill>
              <a:latin typeface="Arial" pitchFamily="34" charset="0"/>
              <a:cs typeface="Arial" pitchFamily="34" charset="0"/>
            </a:rPr>
            <a:t>1</a:t>
          </a: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38</xdr:row>
          <xdr:rowOff>9525</xdr:rowOff>
        </xdr:from>
        <xdr:to>
          <xdr:col>6</xdr:col>
          <xdr:colOff>876300</xdr:colOff>
          <xdr:row>39</xdr:row>
          <xdr:rowOff>0</xdr:rowOff>
        </xdr:to>
        <xdr:sp macro="" textlink="">
          <xdr:nvSpPr>
            <xdr:cNvPr id="706028" name="Drop Down 1516" hidden="1">
              <a:extLst>
                <a:ext uri="{63B3BB69-23CF-44E3-9099-C40C66FF867C}">
                  <a14:compatExt spid="_x0000_s706028"/>
                </a:ext>
                <a:ext uri="{FF2B5EF4-FFF2-40B4-BE49-F238E27FC236}">
                  <a16:creationId xmlns:a16="http://schemas.microsoft.com/office/drawing/2014/main" id="{00000000-0008-0000-0100-0000ECC50A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342900</xdr:colOff>
      <xdr:row>13</xdr:row>
      <xdr:rowOff>76200</xdr:rowOff>
    </xdr:from>
    <xdr:to>
      <xdr:col>3</xdr:col>
      <xdr:colOff>1314450</xdr:colOff>
      <xdr:row>15</xdr:row>
      <xdr:rowOff>47625</xdr:rowOff>
    </xdr:to>
    <xdr:sp macro="" textlink="">
      <xdr:nvSpPr>
        <xdr:cNvPr id="49" name="TextBox 48">
          <a:extLst>
            <a:ext uri="{FF2B5EF4-FFF2-40B4-BE49-F238E27FC236}">
              <a16:creationId xmlns:a16="http://schemas.microsoft.com/office/drawing/2014/main" id="{00000000-0008-0000-0100-000031000000}"/>
            </a:ext>
          </a:extLst>
        </xdr:cNvPr>
        <xdr:cNvSpPr txBox="1"/>
      </xdr:nvSpPr>
      <xdr:spPr bwMode="auto">
        <a:xfrm>
          <a:off x="2638425" y="2181225"/>
          <a:ext cx="971550" cy="295275"/>
        </a:xfrm>
        <a:prstGeom prst="rect">
          <a:avLst/>
        </a:prstGeom>
        <a:solidFill>
          <a:srgbClr val="CCFFFF"/>
        </a:solidFill>
        <a:ln w="9525">
          <a:noFill/>
          <a:miter lim="800000"/>
          <a:headEnd/>
          <a:tailEnd/>
        </a:ln>
      </xdr:spPr>
      <xdr:txBody>
        <a:bodyPr vertOverflow="clip" horzOverflow="clip" wrap="square" lIns="27432" tIns="27432" rIns="0" bIns="0" rtlCol="0" anchor="t" upright="1"/>
        <a:lstStyle/>
        <a:p>
          <a:pPr algn="ctr" rtl="0"/>
          <a:r>
            <a:rPr lang="en-US" sz="1400" b="1" i="0" strike="noStrike">
              <a:solidFill>
                <a:srgbClr val="FF0000"/>
              </a:solidFill>
              <a:latin typeface="Arial" panose="020B0604020202020204" pitchFamily="34" charset="0"/>
              <a:cs typeface="Arial" panose="020B0604020202020204" pitchFamily="34" charset="0"/>
            </a:rPr>
            <a:t>LM25180</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7</xdr:row>
      <xdr:rowOff>38100</xdr:rowOff>
    </xdr:from>
    <xdr:to>
      <xdr:col>10</xdr:col>
      <xdr:colOff>419100</xdr:colOff>
      <xdr:row>62</xdr:row>
      <xdr:rowOff>107170</xdr:rowOff>
    </xdr:to>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1704975"/>
          <a:ext cx="5972175" cy="8974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533400</xdr:colOff>
      <xdr:row>7</xdr:row>
      <xdr:rowOff>38100</xdr:rowOff>
    </xdr:from>
    <xdr:to>
      <xdr:col>21</xdr:col>
      <xdr:colOff>552450</xdr:colOff>
      <xdr:row>62</xdr:row>
      <xdr:rowOff>145539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1704975"/>
          <a:ext cx="6124575" cy="9013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447675</xdr:colOff>
          <xdr:row>6</xdr:row>
          <xdr:rowOff>19050</xdr:rowOff>
        </xdr:from>
        <xdr:to>
          <xdr:col>10</xdr:col>
          <xdr:colOff>666750</xdr:colOff>
          <xdr:row>7</xdr:row>
          <xdr:rowOff>95250</xdr:rowOff>
        </xdr:to>
        <xdr:sp macro="" textlink="">
          <xdr:nvSpPr>
            <xdr:cNvPr id="721921" name="Drop Down 1" hidden="1">
              <a:extLst>
                <a:ext uri="{63B3BB69-23CF-44E3-9099-C40C66FF867C}">
                  <a14:compatExt spid="_x0000_s721921"/>
                </a:ext>
                <a:ext uri="{FF2B5EF4-FFF2-40B4-BE49-F238E27FC236}">
                  <a16:creationId xmlns:a16="http://schemas.microsoft.com/office/drawing/2014/main" id="{00000000-0008-0000-03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8</xdr:col>
      <xdr:colOff>152400</xdr:colOff>
      <xdr:row>9</xdr:row>
      <xdr:rowOff>0</xdr:rowOff>
    </xdr:from>
    <xdr:to>
      <xdr:col>23</xdr:col>
      <xdr:colOff>38100</xdr:colOff>
      <xdr:row>40</xdr:row>
      <xdr:rowOff>1732</xdr:rowOff>
    </xdr:to>
    <xdr:graphicFrame macro="">
      <xdr:nvGraphicFramePr>
        <xdr:cNvPr id="3" name="Chart 25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142875</xdr:colOff>
      <xdr:row>40</xdr:row>
      <xdr:rowOff>123825</xdr:rowOff>
    </xdr:from>
    <xdr:to>
      <xdr:col>23</xdr:col>
      <xdr:colOff>19050</xdr:colOff>
      <xdr:row>71</xdr:row>
      <xdr:rowOff>125557</xdr:rowOff>
    </xdr:to>
    <xdr:graphicFrame macro="">
      <xdr:nvGraphicFramePr>
        <xdr:cNvPr id="4" name="Chart 25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200025</xdr:colOff>
      <xdr:row>40</xdr:row>
      <xdr:rowOff>114300</xdr:rowOff>
    </xdr:from>
    <xdr:to>
      <xdr:col>46</xdr:col>
      <xdr:colOff>333375</xdr:colOff>
      <xdr:row>71</xdr:row>
      <xdr:rowOff>116032</xdr:rowOff>
    </xdr:to>
    <xdr:graphicFrame macro="">
      <xdr:nvGraphicFramePr>
        <xdr:cNvPr id="6" name="Chart 253">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228600</xdr:colOff>
      <xdr:row>9</xdr:row>
      <xdr:rowOff>28575</xdr:rowOff>
    </xdr:from>
    <xdr:to>
      <xdr:col>46</xdr:col>
      <xdr:colOff>361950</xdr:colOff>
      <xdr:row>40</xdr:row>
      <xdr:rowOff>30307</xdr:rowOff>
    </xdr:to>
    <xdr:graphicFrame macro="">
      <xdr:nvGraphicFramePr>
        <xdr:cNvPr id="7" name="Chart 253">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159205</xdr:colOff>
      <xdr:row>72</xdr:row>
      <xdr:rowOff>141513</xdr:rowOff>
    </xdr:from>
    <xdr:to>
      <xdr:col>23</xdr:col>
      <xdr:colOff>0</xdr:colOff>
      <xdr:row>101</xdr:row>
      <xdr:rowOff>123825</xdr:rowOff>
    </xdr:to>
    <xdr:graphicFrame macro="">
      <xdr:nvGraphicFramePr>
        <xdr:cNvPr id="9" name="Chart 253">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342900</xdr:colOff>
      <xdr:row>9</xdr:row>
      <xdr:rowOff>19050</xdr:rowOff>
    </xdr:from>
    <xdr:to>
      <xdr:col>27</xdr:col>
      <xdr:colOff>47625</xdr:colOff>
      <xdr:row>40</xdr:row>
      <xdr:rowOff>20782</xdr:rowOff>
    </xdr:to>
    <xdr:graphicFrame macro="">
      <xdr:nvGraphicFramePr>
        <xdr:cNvPr id="2" name="Chart 25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352425</xdr:colOff>
      <xdr:row>41</xdr:row>
      <xdr:rowOff>0</xdr:rowOff>
    </xdr:from>
    <xdr:to>
      <xdr:col>27</xdr:col>
      <xdr:colOff>57150</xdr:colOff>
      <xdr:row>72</xdr:row>
      <xdr:rowOff>1732</xdr:rowOff>
    </xdr:to>
    <xdr:graphicFrame macro="">
      <xdr:nvGraphicFramePr>
        <xdr:cNvPr id="3" name="Chart 253">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194582</xdr:colOff>
      <xdr:row>41</xdr:row>
      <xdr:rowOff>21771</xdr:rowOff>
    </xdr:from>
    <xdr:to>
      <xdr:col>47</xdr:col>
      <xdr:colOff>123825</xdr:colOff>
      <xdr:row>72</xdr:row>
      <xdr:rowOff>23503</xdr:rowOff>
    </xdr:to>
    <xdr:graphicFrame macro="">
      <xdr:nvGraphicFramePr>
        <xdr:cNvPr id="4" name="Chart 25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228600</xdr:colOff>
      <xdr:row>9</xdr:row>
      <xdr:rowOff>28575</xdr:rowOff>
    </xdr:from>
    <xdr:to>
      <xdr:col>47</xdr:col>
      <xdr:colOff>19050</xdr:colOff>
      <xdr:row>40</xdr:row>
      <xdr:rowOff>30307</xdr:rowOff>
    </xdr:to>
    <xdr:graphicFrame macro="">
      <xdr:nvGraphicFramePr>
        <xdr:cNvPr id="5" name="Chart 253">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329046</xdr:colOff>
      <xdr:row>72</xdr:row>
      <xdr:rowOff>138546</xdr:rowOff>
    </xdr:from>
    <xdr:to>
      <xdr:col>27</xdr:col>
      <xdr:colOff>33771</xdr:colOff>
      <xdr:row>103</xdr:row>
      <xdr:rowOff>140278</xdr:rowOff>
    </xdr:to>
    <xdr:graphicFrame macro="">
      <xdr:nvGraphicFramePr>
        <xdr:cNvPr id="6" name="Chart 253">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19</xdr:col>
      <xdr:colOff>0</xdr:colOff>
      <xdr:row>12</xdr:row>
      <xdr:rowOff>0</xdr:rowOff>
    </xdr:from>
    <xdr:to>
      <xdr:col>33</xdr:col>
      <xdr:colOff>248709</xdr:colOff>
      <xdr:row>40</xdr:row>
      <xdr:rowOff>61288</xdr:rowOff>
    </xdr:to>
    <xdr:graphicFrame macro="">
      <xdr:nvGraphicFramePr>
        <xdr:cNvPr id="2" name="Chart 2">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111</xdr:row>
      <xdr:rowOff>114300</xdr:rowOff>
    </xdr:from>
    <xdr:to>
      <xdr:col>20</xdr:col>
      <xdr:colOff>161925</xdr:colOff>
      <xdr:row>144</xdr:row>
      <xdr:rowOff>76200</xdr:rowOff>
    </xdr:to>
    <xdr:graphicFrame macro="">
      <xdr:nvGraphicFramePr>
        <xdr:cNvPr id="3" name="Chart 3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1600199</xdr:colOff>
      <xdr:row>4</xdr:row>
      <xdr:rowOff>95250</xdr:rowOff>
    </xdr:from>
    <xdr:to>
      <xdr:col>4</xdr:col>
      <xdr:colOff>3267074</xdr:colOff>
      <xdr:row>4</xdr:row>
      <xdr:rowOff>535385</xdr:rowOff>
    </xdr:to>
    <xdr:pic>
      <xdr:nvPicPr>
        <xdr:cNvPr id="4" name="Picture 84">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857749" y="800100"/>
          <a:ext cx="1666875" cy="440135"/>
        </a:xfrm>
        <a:prstGeom prst="rect">
          <a:avLst/>
        </a:prstGeom>
        <a:noFill/>
        <a:ln w="1">
          <a:noFill/>
          <a:miter lim="800000"/>
          <a:headEnd/>
          <a:tailEnd type="none" w="med" len="med"/>
        </a:ln>
        <a:effectLst/>
      </xdr:spPr>
    </xdr:pic>
    <xdr:clientData/>
  </xdr:twoCellAnchor>
  <xdr:twoCellAnchor>
    <xdr:from>
      <xdr:col>0</xdr:col>
      <xdr:colOff>95250</xdr:colOff>
      <xdr:row>148</xdr:row>
      <xdr:rowOff>76200</xdr:rowOff>
    </xdr:from>
    <xdr:to>
      <xdr:col>20</xdr:col>
      <xdr:colOff>687917</xdr:colOff>
      <xdr:row>181</xdr:row>
      <xdr:rowOff>38100</xdr:rowOff>
    </xdr:to>
    <xdr:graphicFrame macro="">
      <xdr:nvGraphicFramePr>
        <xdr:cNvPr id="8" name="Chart 31">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22</xdr:col>
          <xdr:colOff>180975</xdr:colOff>
          <xdr:row>111</xdr:row>
          <xdr:rowOff>142875</xdr:rowOff>
        </xdr:from>
        <xdr:to>
          <xdr:col>36</xdr:col>
          <xdr:colOff>9525</xdr:colOff>
          <xdr:row>125</xdr:row>
          <xdr:rowOff>142875</xdr:rowOff>
        </xdr:to>
        <xdr:sp macro="" textlink="">
          <xdr:nvSpPr>
            <xdr:cNvPr id="683009" name="Object 1" hidden="1">
              <a:extLst>
                <a:ext uri="{63B3BB69-23CF-44E3-9099-C40C66FF867C}">
                  <a14:compatExt spid="_x0000_s683009"/>
                </a:ext>
                <a:ext uri="{FF2B5EF4-FFF2-40B4-BE49-F238E27FC236}">
                  <a16:creationId xmlns:a16="http://schemas.microsoft.com/office/drawing/2014/main" id="{00000000-0008-0000-0700-0000016C0A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392906</xdr:colOff>
      <xdr:row>218</xdr:row>
      <xdr:rowOff>130969</xdr:rowOff>
    </xdr:from>
    <xdr:to>
      <xdr:col>19</xdr:col>
      <xdr:colOff>626267</xdr:colOff>
      <xdr:row>250</xdr:row>
      <xdr:rowOff>124619</xdr:rowOff>
    </xdr:to>
    <xdr:graphicFrame macro="">
      <xdr:nvGraphicFramePr>
        <xdr:cNvPr id="13" name="Chart 31">
          <a:extLst>
            <a:ext uri="{FF2B5EF4-FFF2-40B4-BE49-F238E27FC236}">
              <a16:creationId xmlns:a16="http://schemas.microsoft.com/office/drawing/2014/main" id="{00000000-0008-0000-07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35718</xdr:colOff>
      <xdr:row>255</xdr:row>
      <xdr:rowOff>47626</xdr:rowOff>
    </xdr:from>
    <xdr:to>
      <xdr:col>13</xdr:col>
      <xdr:colOff>16668</xdr:colOff>
      <xdr:row>287</xdr:row>
      <xdr:rowOff>104776</xdr:rowOff>
    </xdr:to>
    <xdr:graphicFrame macro="">
      <xdr:nvGraphicFramePr>
        <xdr:cNvPr id="16" name="Chart 253">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28575</xdr:colOff>
      <xdr:row>289</xdr:row>
      <xdr:rowOff>66675</xdr:rowOff>
    </xdr:from>
    <xdr:to>
      <xdr:col>13</xdr:col>
      <xdr:colOff>9525</xdr:colOff>
      <xdr:row>321</xdr:row>
      <xdr:rowOff>123825</xdr:rowOff>
    </xdr:to>
    <xdr:graphicFrame macro="">
      <xdr:nvGraphicFramePr>
        <xdr:cNvPr id="15" name="Chart 253">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95251</xdr:colOff>
      <xdr:row>182</xdr:row>
      <xdr:rowOff>100853</xdr:rowOff>
    </xdr:from>
    <xdr:to>
      <xdr:col>20</xdr:col>
      <xdr:colOff>708023</xdr:colOff>
      <xdr:row>215</xdr:row>
      <xdr:rowOff>62753</xdr:rowOff>
    </xdr:to>
    <xdr:graphicFrame macro="">
      <xdr:nvGraphicFramePr>
        <xdr:cNvPr id="17" name="Chart 31">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0.16877</cdr:x>
      <cdr:y>0.12917</cdr:y>
    </cdr:from>
    <cdr:to>
      <cdr:x>0.23482</cdr:x>
      <cdr:y>0.16636</cdr:y>
    </cdr:to>
    <cdr:sp macro="" textlink="'Variable Mgmt'!$B$256">
      <cdr:nvSpPr>
        <cdr:cNvPr id="2" name="Text Box 24"/>
        <cdr:cNvSpPr txBox="1">
          <a:spLocks xmlns:a="http://schemas.openxmlformats.org/drawingml/2006/main" noChangeArrowheads="1" noTextEdit="1"/>
        </cdr:cNvSpPr>
      </cdr:nvSpPr>
      <cdr:spPr bwMode="auto">
        <a:xfrm xmlns:a="http://schemas.openxmlformats.org/drawingml/2006/main">
          <a:off x="1403360" y="665601"/>
          <a:ext cx="549265" cy="19165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22860" rIns="0" bIns="22860" anchor="b"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fld id="{FB7B9190-533F-41A0-B9F6-41424F4E3D27}" type="TxLink">
            <a:rPr lang="en-US" sz="1100" b="0" i="0" u="none" strike="noStrike" baseline="0">
              <a:solidFill>
                <a:srgbClr val="000000"/>
              </a:solidFill>
              <a:latin typeface="Arial"/>
              <a:cs typeface="Arial"/>
            </a:rPr>
            <a:pPr algn="l" rtl="0">
              <a:defRPr sz="1000"/>
            </a:pPr>
            <a:t>88%</a:t>
          </a:fld>
          <a:endParaRPr lang="en-US" sz="1100" b="1" i="0" u="none" strike="noStrike" baseline="0">
            <a:solidFill>
              <a:srgbClr val="000000"/>
            </a:solidFill>
            <a:latin typeface="Arial" pitchFamily="34" charset="0"/>
            <a:cs typeface="Arial"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noFill/>
        <a:ln w="9525">
          <a:noFill/>
          <a:miter lim="800000"/>
          <a:headEnd/>
          <a:tailEnd/>
        </a:ln>
      </a:spPr>
      <a:bodyPr vertOverflow="clip" wrap="square" lIns="27432" tIns="27432" rIns="0" bIns="0" anchor="t" upright="1"/>
      <a:lstStyle>
        <a:defPPr algn="l" rtl="0">
          <a:defRPr sz="1100" b="0" i="0" strike="noStrike">
            <a:solidFill>
              <a:srgbClr val="000000"/>
            </a:solidFill>
            <a:latin typeface="Calibri"/>
          </a:defRPr>
        </a:defPPr>
      </a:lst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http://www.ti.com/widevin"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2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7.bin"/><Relationship Id="rId6" Type="http://schemas.openxmlformats.org/officeDocument/2006/relationships/comments" Target="../comments2.xml"/><Relationship Id="rId5" Type="http://schemas.openxmlformats.org/officeDocument/2006/relationships/image" Target="../media/image15.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I53"/>
  <sheetViews>
    <sheetView tabSelected="1" topLeftCell="A4" zoomScaleNormal="100" zoomScaleSheetLayoutView="70" workbookViewId="0">
      <selection activeCell="E27" sqref="E27"/>
    </sheetView>
  </sheetViews>
  <sheetFormatPr defaultColWidth="9.140625" defaultRowHeight="12.75" x14ac:dyDescent="0.2"/>
  <cols>
    <col min="1" max="1" width="8.28515625" style="108" customWidth="1"/>
    <col min="2" max="2" width="8.28515625" style="47" customWidth="1"/>
    <col min="3" max="3" width="13.5703125" style="47" customWidth="1"/>
    <col min="4" max="4" width="9.85546875" style="47" customWidth="1"/>
    <col min="5" max="5" width="9.140625" style="47" customWidth="1"/>
    <col min="6" max="6" width="8.7109375" style="47" customWidth="1"/>
    <col min="7" max="7" width="2.7109375" style="47" customWidth="1"/>
    <col min="8" max="9" width="8.28515625" style="47" customWidth="1"/>
    <col min="10" max="10" width="13.7109375" style="47" customWidth="1"/>
    <col min="11" max="11" width="10" style="47" customWidth="1"/>
    <col min="12" max="12" width="9.42578125" style="47" customWidth="1"/>
    <col min="13" max="13" width="8.7109375" style="47" customWidth="1"/>
    <col min="14" max="15" width="9.140625" style="47"/>
    <col min="16" max="18" width="10.140625" style="47" customWidth="1"/>
    <col min="19" max="19" width="10" style="47" bestFit="1" customWidth="1"/>
    <col min="20" max="25" width="9.140625" style="47"/>
    <col min="26" max="26" width="29" style="47" customWidth="1"/>
    <col min="27" max="27" width="3.140625" style="47" customWidth="1"/>
    <col min="28" max="16384" width="9.140625" style="47"/>
  </cols>
  <sheetData>
    <row r="1" spans="1:27" ht="47.25" customHeight="1" x14ac:dyDescent="0.2">
      <c r="A1" s="532" t="s">
        <v>706</v>
      </c>
      <c r="B1" s="530"/>
      <c r="C1" s="530"/>
      <c r="D1" s="530"/>
      <c r="E1" s="530"/>
      <c r="F1" s="530"/>
      <c r="G1" s="530"/>
      <c r="H1" s="530"/>
      <c r="I1" s="530"/>
      <c r="J1" s="530"/>
      <c r="K1" s="530"/>
      <c r="L1" s="530"/>
      <c r="M1" s="530"/>
      <c r="N1" s="530"/>
      <c r="O1" s="530"/>
      <c r="P1" s="530"/>
      <c r="Q1" s="530"/>
      <c r="R1" s="531"/>
      <c r="S1" s="531"/>
      <c r="T1" s="531"/>
      <c r="U1" s="531"/>
      <c r="V1" s="423"/>
      <c r="W1" s="423"/>
      <c r="X1" s="423"/>
      <c r="Y1" s="423"/>
      <c r="Z1" s="423"/>
      <c r="AA1" s="423"/>
    </row>
    <row r="2" spans="1:27" ht="14.1" customHeight="1" x14ac:dyDescent="0.45">
      <c r="A2" s="404"/>
      <c r="B2" s="405"/>
      <c r="C2" s="405"/>
      <c r="D2" s="405"/>
      <c r="E2" s="405"/>
      <c r="F2" s="405"/>
      <c r="G2" s="405"/>
      <c r="H2" s="405"/>
      <c r="I2" s="405"/>
      <c r="J2" s="405"/>
      <c r="K2" s="405"/>
      <c r="L2" s="405"/>
      <c r="M2" s="405"/>
      <c r="N2" s="405"/>
      <c r="O2" s="418"/>
      <c r="P2" s="405"/>
      <c r="Q2" s="405"/>
      <c r="R2" s="413"/>
      <c r="S2" s="511"/>
      <c r="T2" s="511"/>
      <c r="U2" s="511"/>
      <c r="V2" s="511"/>
      <c r="W2" s="511"/>
      <c r="X2" s="511"/>
      <c r="Y2" s="511"/>
      <c r="Z2" s="511"/>
      <c r="AA2" s="511"/>
    </row>
    <row r="3" spans="1:27" ht="15.95" customHeight="1" x14ac:dyDescent="0.45">
      <c r="A3" s="406" t="s">
        <v>105</v>
      </c>
      <c r="B3" s="407"/>
      <c r="C3" s="419" t="s">
        <v>106</v>
      </c>
      <c r="D3" s="408"/>
      <c r="E3" s="84"/>
      <c r="F3" s="410" t="s">
        <v>59</v>
      </c>
      <c r="G3" s="409"/>
      <c r="H3" s="405"/>
      <c r="I3" s="405"/>
      <c r="J3" s="409"/>
      <c r="K3" s="411"/>
      <c r="L3" s="412"/>
      <c r="M3" s="413"/>
      <c r="N3" s="413"/>
      <c r="O3" s="511"/>
      <c r="P3" s="1"/>
      <c r="Q3" s="413" t="s">
        <v>77</v>
      </c>
      <c r="R3" s="413"/>
      <c r="S3" s="511"/>
      <c r="T3" s="511"/>
      <c r="U3" s="533" t="s">
        <v>319</v>
      </c>
      <c r="V3" s="511"/>
      <c r="W3" s="511"/>
      <c r="X3" s="511"/>
      <c r="Y3" s="511"/>
      <c r="Z3" s="511"/>
      <c r="AA3" s="511"/>
    </row>
    <row r="4" spans="1:27" ht="14.1" customHeight="1" thickBot="1" x14ac:dyDescent="0.35">
      <c r="A4" s="414"/>
      <c r="B4" s="415"/>
      <c r="C4" s="416"/>
      <c r="D4" s="416"/>
      <c r="E4" s="416"/>
      <c r="F4" s="416"/>
      <c r="G4" s="416"/>
      <c r="H4" s="416"/>
      <c r="I4" s="416"/>
      <c r="J4" s="416"/>
      <c r="K4" s="416"/>
      <c r="L4" s="416"/>
      <c r="M4" s="417"/>
      <c r="N4" s="417"/>
      <c r="O4" s="417"/>
      <c r="P4" s="417"/>
      <c r="Q4" s="417"/>
      <c r="R4" s="413"/>
      <c r="S4" s="511"/>
      <c r="T4" s="511"/>
      <c r="U4" s="511"/>
      <c r="V4" s="511"/>
      <c r="W4" s="511"/>
      <c r="X4" s="511"/>
      <c r="Y4" s="511"/>
      <c r="Z4" s="511"/>
      <c r="AA4" s="511"/>
    </row>
    <row r="5" spans="1:27" ht="19.5" customHeight="1" thickBot="1" x14ac:dyDescent="0.35">
      <c r="A5" s="107" t="s">
        <v>101</v>
      </c>
      <c r="B5" s="82"/>
      <c r="C5" s="48"/>
      <c r="D5" s="48"/>
      <c r="E5" s="49"/>
      <c r="F5" s="48"/>
      <c r="G5" s="73"/>
      <c r="H5" s="603" t="s">
        <v>366</v>
      </c>
      <c r="I5" s="93"/>
      <c r="J5" s="94"/>
      <c r="K5" s="94"/>
      <c r="L5" s="95"/>
      <c r="M5" s="361"/>
      <c r="N5" s="50"/>
      <c r="O5" s="50"/>
      <c r="P5" s="50"/>
      <c r="Q5" s="50"/>
      <c r="R5" s="512"/>
      <c r="S5" s="512"/>
      <c r="T5" s="512"/>
      <c r="U5" s="512"/>
      <c r="V5" s="512"/>
      <c r="W5" s="512"/>
      <c r="X5" s="512"/>
      <c r="Y5" s="512"/>
      <c r="Z5" s="516"/>
      <c r="AA5" s="511"/>
    </row>
    <row r="6" spans="1:27" ht="15.75" customHeight="1" x14ac:dyDescent="0.2">
      <c r="A6" s="142"/>
      <c r="B6" s="143"/>
      <c r="C6" s="144"/>
      <c r="D6" s="145" t="s">
        <v>374</v>
      </c>
      <c r="E6" s="146">
        <v>21.6</v>
      </c>
      <c r="F6" s="433" t="s">
        <v>0</v>
      </c>
      <c r="G6" s="91"/>
      <c r="H6" s="464"/>
      <c r="I6" s="520"/>
      <c r="J6" s="211"/>
      <c r="K6" s="521" t="s">
        <v>685</v>
      </c>
      <c r="L6" s="651">
        <f>Lmin</f>
        <v>42.241379310344833</v>
      </c>
      <c r="M6" s="654" t="s">
        <v>96</v>
      </c>
      <c r="N6" s="50"/>
      <c r="O6" s="50"/>
      <c r="P6" s="50"/>
      <c r="Q6" s="50"/>
      <c r="R6" s="83"/>
      <c r="S6" s="83"/>
      <c r="T6" s="76"/>
      <c r="U6" s="76"/>
      <c r="V6" s="76"/>
      <c r="W6" s="76"/>
      <c r="X6" s="76"/>
      <c r="Y6" s="76"/>
      <c r="Z6" s="517"/>
      <c r="AA6" s="511"/>
    </row>
    <row r="7" spans="1:27" ht="14.25" customHeight="1" x14ac:dyDescent="0.25">
      <c r="A7" s="136"/>
      <c r="B7" s="135"/>
      <c r="C7" s="137"/>
      <c r="D7" s="147" t="s">
        <v>375</v>
      </c>
      <c r="E7" s="148">
        <v>24</v>
      </c>
      <c r="F7" s="434" t="s">
        <v>0</v>
      </c>
      <c r="G7" s="91"/>
      <c r="H7" s="89"/>
      <c r="I7" s="90"/>
      <c r="J7" s="88"/>
      <c r="K7" s="101" t="s">
        <v>372</v>
      </c>
      <c r="L7" s="148">
        <v>84</v>
      </c>
      <c r="M7" s="434" t="s">
        <v>96</v>
      </c>
      <c r="N7" s="50"/>
      <c r="O7" s="50"/>
      <c r="P7" s="50"/>
      <c r="Q7" s="50"/>
      <c r="R7" s="83"/>
      <c r="S7" s="83"/>
      <c r="T7" s="76"/>
      <c r="U7" s="76"/>
      <c r="V7" s="76"/>
      <c r="W7" s="76"/>
      <c r="X7" s="76"/>
      <c r="Y7" s="76"/>
      <c r="Z7" s="517"/>
      <c r="AA7" s="511"/>
    </row>
    <row r="8" spans="1:27" ht="15.75" customHeight="1" x14ac:dyDescent="0.2">
      <c r="A8" s="136"/>
      <c r="B8" s="135"/>
      <c r="C8" s="137"/>
      <c r="D8" s="147" t="s">
        <v>376</v>
      </c>
      <c r="E8" s="148">
        <v>26.4</v>
      </c>
      <c r="F8" s="434" t="s">
        <v>0</v>
      </c>
      <c r="G8" s="91"/>
      <c r="H8" s="89"/>
      <c r="I8" s="90"/>
      <c r="J8" s="88"/>
      <c r="K8" s="101" t="s">
        <v>542</v>
      </c>
      <c r="L8" s="148">
        <v>95</v>
      </c>
      <c r="M8" s="434" t="s">
        <v>20</v>
      </c>
      <c r="N8" s="50"/>
      <c r="O8" s="50"/>
      <c r="P8" s="50"/>
      <c r="Q8" s="50"/>
      <c r="R8" s="83"/>
      <c r="S8" s="83"/>
      <c r="T8" s="76"/>
      <c r="U8" s="76"/>
      <c r="V8" s="76"/>
      <c r="W8" s="76"/>
      <c r="X8" s="76"/>
      <c r="Y8" s="76"/>
      <c r="Z8" s="517"/>
      <c r="AA8" s="511"/>
    </row>
    <row r="9" spans="1:27" ht="15.75" customHeight="1" x14ac:dyDescent="0.2">
      <c r="A9" s="136"/>
      <c r="B9" s="135"/>
      <c r="C9" s="137"/>
      <c r="D9" s="147" t="s">
        <v>373</v>
      </c>
      <c r="E9" s="601">
        <v>32</v>
      </c>
      <c r="F9" s="149"/>
      <c r="G9" s="91"/>
      <c r="H9" s="89"/>
      <c r="I9" s="90"/>
      <c r="J9" s="88"/>
      <c r="K9" s="101" t="str">
        <f>CHOOSE(MODE, "Secondary Winding DCR", "Secondary Winding #1 DCR")</f>
        <v>Secondary Winding DCR</v>
      </c>
      <c r="L9" s="148">
        <v>90</v>
      </c>
      <c r="M9" s="434" t="s">
        <v>20</v>
      </c>
      <c r="N9" s="50"/>
      <c r="O9" s="50"/>
      <c r="P9" s="50"/>
      <c r="Q9" s="50"/>
      <c r="R9" s="83"/>
      <c r="S9" s="83"/>
      <c r="T9" s="76"/>
      <c r="U9" s="76"/>
      <c r="V9" s="76"/>
      <c r="W9" s="76"/>
      <c r="X9" s="76"/>
      <c r="Y9" s="76"/>
      <c r="Z9" s="517"/>
      <c r="AA9" s="511"/>
    </row>
    <row r="10" spans="1:27" ht="15.75" customHeight="1" x14ac:dyDescent="0.2">
      <c r="A10" s="136"/>
      <c r="B10" s="135"/>
      <c r="C10" s="137"/>
      <c r="D10" s="147" t="str">
        <f>CHOOSE(MODE, "Output Voltage, VOUT ", "Output Voltage, VOUT1")</f>
        <v xml:space="preserve">Output Voltage, VOUT </v>
      </c>
      <c r="E10" s="148">
        <v>12</v>
      </c>
      <c r="F10" s="434" t="s">
        <v>0</v>
      </c>
      <c r="G10" s="91"/>
      <c r="H10" s="89"/>
      <c r="I10" s="90"/>
      <c r="J10" s="88"/>
      <c r="K10" s="101" t="str">
        <f>CHOOSE(MODE, "", "Secondary Winding #2 DCR")</f>
        <v/>
      </c>
      <c r="L10" s="148">
        <v>100</v>
      </c>
      <c r="M10" s="434" t="str">
        <f>CHOOSE(MODE, "", "mΩ")</f>
        <v/>
      </c>
      <c r="N10" s="50"/>
      <c r="O10" s="50"/>
      <c r="P10" s="50"/>
      <c r="Q10" s="50"/>
      <c r="R10" s="83"/>
      <c r="S10" s="83"/>
      <c r="T10" s="76"/>
      <c r="U10" s="76"/>
      <c r="V10" s="76"/>
      <c r="W10" s="76"/>
      <c r="X10" s="76"/>
      <c r="Y10" s="76"/>
      <c r="Z10" s="517"/>
      <c r="AA10" s="511"/>
    </row>
    <row r="11" spans="1:27" ht="15.75" customHeight="1" thickBot="1" x14ac:dyDescent="0.25">
      <c r="A11" s="139"/>
      <c r="B11" s="156"/>
      <c r="C11" s="518"/>
      <c r="D11" s="524" t="str">
        <f>CHOOSE(MODE, "Rated Output Current, IOUT ", "Rated Output Current, IOUT1")</f>
        <v xml:space="preserve">Rated Output Current, IOUT </v>
      </c>
      <c r="E11" s="525">
        <v>0.4</v>
      </c>
      <c r="F11" s="526" t="s">
        <v>1</v>
      </c>
      <c r="G11" s="91"/>
      <c r="H11" s="89"/>
      <c r="I11" s="76"/>
      <c r="J11" s="76"/>
      <c r="K11" s="101" t="s">
        <v>689</v>
      </c>
      <c r="L11" s="148">
        <v>450</v>
      </c>
      <c r="M11" s="434" t="s">
        <v>688</v>
      </c>
      <c r="N11" s="50"/>
      <c r="O11" s="50"/>
      <c r="P11" s="50"/>
      <c r="Q11" s="50"/>
      <c r="R11" s="83"/>
      <c r="S11" s="83"/>
      <c r="T11" s="76"/>
      <c r="U11" s="76"/>
      <c r="V11" s="76"/>
      <c r="W11" s="76"/>
      <c r="X11" s="76"/>
      <c r="Y11" s="76"/>
      <c r="Z11" s="517"/>
      <c r="AA11" s="511"/>
    </row>
    <row r="12" spans="1:27" ht="15.75" customHeight="1" x14ac:dyDescent="0.2">
      <c r="A12" s="76"/>
      <c r="B12" s="76"/>
      <c r="C12" s="76"/>
      <c r="D12" s="147" t="str">
        <f>CHOOSE(MODE, "", "Output Voltage, VOUT2")</f>
        <v/>
      </c>
      <c r="E12" s="148">
        <v>-12</v>
      </c>
      <c r="F12" s="434" t="str">
        <f>CHOOSE(MODE, "", "V", "V")</f>
        <v/>
      </c>
      <c r="G12" s="91"/>
      <c r="H12" s="89"/>
      <c r="I12" s="90"/>
      <c r="J12" s="88"/>
      <c r="K12" s="87" t="str">
        <f>IF(MODE=1, "Transformer Turns Ratio, Pri : Sec", "Turns Ratio, PRI : SEC1")</f>
        <v>Transformer Turns Ratio, Pri : Sec</v>
      </c>
      <c r="L12" s="442"/>
      <c r="M12" s="463"/>
      <c r="N12" s="50"/>
      <c r="O12" s="50"/>
      <c r="P12" s="50"/>
      <c r="Q12" s="50"/>
      <c r="R12" s="83"/>
      <c r="S12" s="83"/>
      <c r="T12" s="76"/>
      <c r="U12" s="76"/>
      <c r="V12" s="76"/>
      <c r="W12" s="76"/>
      <c r="X12" s="76"/>
      <c r="Y12" s="76"/>
      <c r="Z12" s="517"/>
      <c r="AA12" s="511"/>
    </row>
    <row r="13" spans="1:27" ht="15.75" customHeight="1" thickBot="1" x14ac:dyDescent="0.25">
      <c r="A13" s="139"/>
      <c r="B13" s="156"/>
      <c r="C13" s="518"/>
      <c r="D13" s="524" t="str">
        <f>CHOOSE(MODE, "", "Rated Output Current, IOUT2")</f>
        <v/>
      </c>
      <c r="E13" s="525">
        <v>0.2</v>
      </c>
      <c r="F13" s="526" t="str">
        <f>CHOOSE(MODE, "", "A", "A")</f>
        <v/>
      </c>
      <c r="G13" s="91"/>
      <c r="H13" s="136"/>
      <c r="I13" s="135"/>
      <c r="J13" s="137"/>
      <c r="K13" s="88" t="str">
        <f>CHOOSE(MODE, "Diode Max Rev Voltage (Spike Not Included)", "Turns Ratio, SEC1 : SEC2")</f>
        <v>Diode Max Rev Voltage (Spike Not Included)</v>
      </c>
      <c r="L13" s="652">
        <f>CHOOSE(MODE, ROUND(VRRM_DIODE,0), ROUND(Nsec1sec2,2))</f>
        <v>25</v>
      </c>
      <c r="M13" s="463" t="str">
        <f>CHOOSE(MODE, "V", "")</f>
        <v>V</v>
      </c>
      <c r="N13" s="50"/>
      <c r="O13" s="50"/>
      <c r="P13" s="50"/>
      <c r="Q13" s="50"/>
      <c r="R13" s="83"/>
      <c r="S13" s="83"/>
      <c r="T13" s="76"/>
      <c r="U13" s="76"/>
      <c r="V13" s="76"/>
      <c r="W13" s="76"/>
      <c r="X13" s="76"/>
      <c r="Y13" s="76"/>
      <c r="Z13" s="517"/>
      <c r="AA13" s="511"/>
    </row>
    <row r="14" spans="1:27" ht="15.75" customHeight="1" x14ac:dyDescent="0.2">
      <c r="A14" s="431"/>
      <c r="B14" s="76"/>
      <c r="C14" s="76"/>
      <c r="D14" s="76"/>
      <c r="E14" s="76"/>
      <c r="F14" s="527"/>
      <c r="G14" s="92"/>
      <c r="H14" s="136"/>
      <c r="I14" s="135"/>
      <c r="J14" s="621"/>
      <c r="K14" s="137" t="s">
        <v>683</v>
      </c>
      <c r="L14" s="656">
        <f>Don_Vinmin*100</f>
        <v>53.246753246753244</v>
      </c>
      <c r="M14" s="657" t="s">
        <v>684</v>
      </c>
      <c r="N14" s="50"/>
      <c r="O14" s="50"/>
      <c r="P14" s="50"/>
      <c r="Q14" s="50"/>
      <c r="R14" s="83"/>
      <c r="S14" s="83"/>
      <c r="T14" s="76"/>
      <c r="U14" s="76"/>
      <c r="V14" s="76"/>
      <c r="W14" s="76"/>
      <c r="X14" s="76"/>
      <c r="Y14" s="76"/>
      <c r="Z14" s="517"/>
      <c r="AA14" s="511"/>
    </row>
    <row r="15" spans="1:27" ht="19.5" customHeight="1" thickBot="1" x14ac:dyDescent="0.35">
      <c r="A15" s="107" t="s">
        <v>299</v>
      </c>
      <c r="B15" s="93"/>
      <c r="C15" s="94"/>
      <c r="D15" s="94"/>
      <c r="E15" s="95"/>
      <c r="F15" s="94"/>
      <c r="G15" s="91"/>
      <c r="H15" s="622"/>
      <c r="I15" s="515"/>
      <c r="J15" s="515"/>
      <c r="K15" s="518" t="s">
        <v>624</v>
      </c>
      <c r="L15" s="659">
        <f>'Variable Mgmt'!B38</f>
        <v>7.9064316702819957</v>
      </c>
      <c r="M15" s="658" t="s">
        <v>45</v>
      </c>
      <c r="N15" s="50"/>
      <c r="O15" s="50"/>
      <c r="P15" s="50"/>
      <c r="Q15" s="50"/>
      <c r="R15" s="83"/>
      <c r="S15" s="83"/>
      <c r="T15" s="76"/>
      <c r="U15" s="76"/>
      <c r="V15" s="76"/>
      <c r="W15" s="76"/>
      <c r="X15" s="76"/>
      <c r="Y15" s="76"/>
      <c r="Z15" s="517"/>
      <c r="AA15" s="511"/>
    </row>
    <row r="16" spans="1:27" ht="15.75" customHeight="1" x14ac:dyDescent="0.2">
      <c r="A16" s="391"/>
      <c r="B16" s="594"/>
      <c r="C16" s="595"/>
      <c r="D16" s="211" t="s">
        <v>318</v>
      </c>
      <c r="E16" s="631">
        <f>'Variable Mgmt'!B119</f>
        <v>2.2000000000000002</v>
      </c>
      <c r="F16" s="435" t="s">
        <v>97</v>
      </c>
      <c r="G16" s="91"/>
      <c r="H16" s="90"/>
      <c r="I16" s="50"/>
      <c r="J16" s="50"/>
      <c r="K16" s="88"/>
      <c r="L16" s="50"/>
      <c r="M16" s="90"/>
      <c r="N16" s="50"/>
      <c r="O16" s="50"/>
      <c r="P16" s="50"/>
      <c r="Q16" s="50"/>
      <c r="R16" s="83"/>
      <c r="S16" s="83"/>
      <c r="T16" s="76"/>
      <c r="U16" s="76"/>
      <c r="V16" s="76"/>
      <c r="W16" s="76"/>
      <c r="X16" s="76"/>
      <c r="Y16" s="76"/>
      <c r="Z16" s="517"/>
      <c r="AA16" s="511"/>
    </row>
    <row r="17" spans="1:27" ht="15.75" customHeight="1" x14ac:dyDescent="0.25">
      <c r="A17" s="98"/>
      <c r="B17" s="90"/>
      <c r="C17" s="97"/>
      <c r="D17" s="101" t="s">
        <v>141</v>
      </c>
      <c r="E17" s="99">
        <v>22</v>
      </c>
      <c r="F17" s="436" t="s">
        <v>97</v>
      </c>
      <c r="G17" s="91"/>
      <c r="H17" s="90"/>
      <c r="I17" s="50"/>
      <c r="J17" s="50"/>
      <c r="K17" s="50"/>
      <c r="L17" s="50"/>
      <c r="M17" s="50"/>
      <c r="N17" s="50"/>
      <c r="O17" s="50"/>
      <c r="P17" s="50"/>
      <c r="Q17" s="50"/>
      <c r="R17" s="83"/>
      <c r="S17" s="83"/>
      <c r="T17" s="76"/>
      <c r="U17" s="76"/>
      <c r="V17" s="76"/>
      <c r="W17" s="76"/>
      <c r="X17" s="76"/>
      <c r="Y17" s="76"/>
      <c r="Z17" s="517"/>
      <c r="AA17" s="511"/>
    </row>
    <row r="18" spans="1:27" ht="15.75" customHeight="1" x14ac:dyDescent="0.2">
      <c r="A18" s="98"/>
      <c r="B18" s="90"/>
      <c r="C18" s="153"/>
      <c r="D18" s="147" t="s">
        <v>104</v>
      </c>
      <c r="E18" s="152">
        <v>5</v>
      </c>
      <c r="F18" s="437" t="s">
        <v>20</v>
      </c>
      <c r="G18" s="91"/>
      <c r="H18" s="90"/>
      <c r="I18" s="50"/>
      <c r="J18" s="50"/>
      <c r="K18" s="50"/>
      <c r="L18" s="50"/>
      <c r="M18" s="50"/>
      <c r="N18" s="50"/>
      <c r="O18" s="50"/>
      <c r="P18" s="50"/>
      <c r="Q18" s="50"/>
      <c r="R18" s="83"/>
      <c r="S18" s="83"/>
      <c r="T18" s="76"/>
      <c r="U18" s="76"/>
      <c r="V18" s="76"/>
      <c r="W18" s="76"/>
      <c r="X18" s="76"/>
      <c r="Y18" s="76"/>
      <c r="Z18" s="517"/>
      <c r="AA18" s="511"/>
    </row>
    <row r="19" spans="1:27" ht="15.75" customHeight="1" thickBot="1" x14ac:dyDescent="0.35">
      <c r="A19" s="102"/>
      <c r="B19" s="103"/>
      <c r="C19" s="109"/>
      <c r="D19" s="213" t="s">
        <v>510</v>
      </c>
      <c r="E19" s="214">
        <f>Vinripple2*1000</f>
        <v>31.514515220773365</v>
      </c>
      <c r="F19" s="106" t="s">
        <v>103</v>
      </c>
      <c r="G19" s="91"/>
      <c r="H19" s="90"/>
      <c r="I19" s="50"/>
      <c r="J19" s="50"/>
      <c r="K19" s="50"/>
      <c r="L19" s="50"/>
      <c r="M19" s="50"/>
      <c r="N19" s="50"/>
      <c r="O19" s="50"/>
      <c r="P19" s="50"/>
      <c r="Q19" s="50"/>
      <c r="R19" s="83"/>
      <c r="S19" s="83"/>
      <c r="T19" s="76"/>
      <c r="U19" s="76"/>
      <c r="V19" s="76"/>
      <c r="W19" s="76"/>
      <c r="X19" s="76"/>
      <c r="Y19" s="76"/>
      <c r="Z19" s="517"/>
      <c r="AA19" s="511"/>
    </row>
    <row r="20" spans="1:27" ht="15.75" customHeight="1" thickBot="1" x14ac:dyDescent="0.25">
      <c r="A20" s="428"/>
      <c r="B20" s="429"/>
      <c r="C20" s="430"/>
      <c r="D20" s="430" t="str">
        <f>CHOOSE(MODE, "Minimum Output Capacitance", "Minimum Output Capacitance, Output #1")</f>
        <v>Minimum Output Capacitance</v>
      </c>
      <c r="E20" s="650">
        <f>'Variable Mgmt'!B94</f>
        <v>9.7243107769423585</v>
      </c>
      <c r="F20" s="435" t="s">
        <v>97</v>
      </c>
      <c r="G20" s="605"/>
      <c r="H20" s="595"/>
      <c r="I20" s="604"/>
      <c r="J20" s="512"/>
      <c r="K20" s="430" t="str">
        <f>CHOOSE(MODE, "", "Minimum Output Capacitance, Output #2")</f>
        <v/>
      </c>
      <c r="L20" s="650">
        <f>'Variable Mgmt'!B104</f>
        <v>7.2932330827067702</v>
      </c>
      <c r="M20" s="435" t="s">
        <v>97</v>
      </c>
      <c r="N20" s="50"/>
      <c r="O20" s="50"/>
      <c r="P20" s="50"/>
      <c r="Q20" s="50"/>
      <c r="R20" s="83"/>
      <c r="S20" s="83"/>
      <c r="T20" s="76"/>
      <c r="U20" s="76"/>
      <c r="V20" s="76"/>
      <c r="W20" s="76"/>
      <c r="X20" s="76"/>
      <c r="Y20" s="76"/>
      <c r="Z20" s="517"/>
      <c r="AA20" s="511"/>
    </row>
    <row r="21" spans="1:27" ht="15.75" customHeight="1" x14ac:dyDescent="0.2">
      <c r="A21" s="89"/>
      <c r="B21" s="90"/>
      <c r="C21" s="137"/>
      <c r="D21" s="154" t="s">
        <v>140</v>
      </c>
      <c r="E21" s="148">
        <v>100</v>
      </c>
      <c r="F21" s="434" t="s">
        <v>97</v>
      </c>
      <c r="G21" s="606"/>
      <c r="H21" s="90"/>
      <c r="I21" s="50"/>
      <c r="J21" s="76"/>
      <c r="K21" s="154" t="s">
        <v>550</v>
      </c>
      <c r="L21" s="148">
        <v>47</v>
      </c>
      <c r="M21" s="434" t="s">
        <v>97</v>
      </c>
      <c r="N21" s="50"/>
      <c r="O21" s="50"/>
      <c r="P21" s="50"/>
      <c r="Q21" s="50"/>
      <c r="R21" s="83"/>
      <c r="S21" s="83"/>
      <c r="T21" s="76"/>
      <c r="U21" s="76"/>
      <c r="V21" s="76"/>
      <c r="W21" s="76"/>
      <c r="X21" s="76"/>
      <c r="Y21" s="76"/>
      <c r="Z21" s="517"/>
      <c r="AA21" s="511"/>
    </row>
    <row r="22" spans="1:27" ht="16.5" customHeight="1" thickBot="1" x14ac:dyDescent="0.25">
      <c r="A22" s="89"/>
      <c r="B22" s="90"/>
      <c r="C22" s="153"/>
      <c r="D22" s="147" t="s">
        <v>551</v>
      </c>
      <c r="E22" s="152">
        <v>3</v>
      </c>
      <c r="F22" s="437" t="s">
        <v>20</v>
      </c>
      <c r="G22" s="607"/>
      <c r="H22" s="90"/>
      <c r="I22" s="50"/>
      <c r="J22" s="76"/>
      <c r="K22" s="147" t="s">
        <v>551</v>
      </c>
      <c r="L22" s="152">
        <v>3</v>
      </c>
      <c r="M22" s="437" t="s">
        <v>20</v>
      </c>
      <c r="N22" s="50"/>
      <c r="O22" s="50"/>
      <c r="P22" s="50"/>
      <c r="Q22" s="50"/>
      <c r="R22" s="83"/>
      <c r="S22" s="83"/>
      <c r="T22" s="76"/>
      <c r="U22" s="76"/>
      <c r="V22" s="76"/>
      <c r="W22" s="76"/>
      <c r="X22" s="76"/>
      <c r="Y22" s="76"/>
      <c r="Z22" s="517"/>
      <c r="AA22" s="511"/>
    </row>
    <row r="23" spans="1:27" ht="15.75" customHeight="1" thickBot="1" x14ac:dyDescent="0.35">
      <c r="A23" s="102"/>
      <c r="B23" s="105"/>
      <c r="C23" s="105"/>
      <c r="D23" s="213" t="str">
        <f>CHOOSE(MODE, "Resulting Output Voltage Ripple", "Resulting Output Voltage Ripple, Output #1")</f>
        <v>Resulting Output Voltage Ripple</v>
      </c>
      <c r="E23" s="214">
        <f>Vripple1_actual</f>
        <v>12.86917293233083</v>
      </c>
      <c r="F23" s="106" t="s">
        <v>103</v>
      </c>
      <c r="G23" s="605"/>
      <c r="H23" s="105"/>
      <c r="I23" s="515"/>
      <c r="J23" s="514"/>
      <c r="K23" s="213" t="str">
        <f>CHOOSE(MODE, "", "Resulting Output Voltage Ripple, Output #2")</f>
        <v/>
      </c>
      <c r="L23" s="214">
        <f>Vripple2_actual</f>
        <v>37.462020444075904</v>
      </c>
      <c r="M23" s="106" t="s">
        <v>103</v>
      </c>
      <c r="N23" s="50"/>
      <c r="O23" s="50"/>
      <c r="P23" s="50"/>
      <c r="Q23" s="50"/>
      <c r="R23" s="83"/>
      <c r="S23" s="83"/>
      <c r="T23" s="76"/>
      <c r="U23" s="76"/>
      <c r="V23" s="76"/>
      <c r="W23" s="76"/>
      <c r="X23" s="76"/>
      <c r="Y23" s="76"/>
      <c r="Z23" s="517"/>
      <c r="AA23" s="511"/>
    </row>
    <row r="24" spans="1:27" ht="13.5" customHeight="1" x14ac:dyDescent="0.2">
      <c r="A24" s="431"/>
      <c r="B24" s="76"/>
      <c r="C24" s="76"/>
      <c r="D24" s="76"/>
      <c r="E24" s="76"/>
      <c r="F24" s="76"/>
      <c r="G24" s="76"/>
      <c r="H24" s="76"/>
      <c r="I24" s="76"/>
      <c r="J24" s="76"/>
      <c r="K24" s="76"/>
      <c r="L24" s="76"/>
      <c r="M24" s="76"/>
      <c r="N24" s="50"/>
      <c r="O24" s="50"/>
      <c r="P24" s="50"/>
      <c r="Q24" s="50"/>
      <c r="R24" s="83"/>
      <c r="S24" s="83"/>
      <c r="T24" s="76"/>
      <c r="U24" s="76"/>
      <c r="V24" s="76"/>
      <c r="W24" s="76"/>
      <c r="X24" s="76"/>
      <c r="Y24" s="76"/>
      <c r="Z24" s="517"/>
      <c r="AA24" s="511"/>
    </row>
    <row r="25" spans="1:27" ht="19.5" customHeight="1" thickBot="1" x14ac:dyDescent="0.35">
      <c r="A25" s="107" t="s">
        <v>393</v>
      </c>
      <c r="B25" s="96"/>
      <c r="C25" s="90"/>
      <c r="D25" s="88"/>
      <c r="E25" s="90"/>
      <c r="F25" s="90"/>
      <c r="G25" s="90"/>
      <c r="H25" s="90"/>
      <c r="I25" s="50"/>
      <c r="J25" s="50"/>
      <c r="K25" s="50"/>
      <c r="L25" s="50"/>
      <c r="M25" s="50"/>
      <c r="N25" s="50"/>
      <c r="O25" s="50"/>
      <c r="P25" s="50"/>
      <c r="Q25" s="50"/>
      <c r="R25" s="83"/>
      <c r="S25" s="83"/>
      <c r="T25" s="76"/>
      <c r="U25" s="76"/>
      <c r="V25" s="76"/>
      <c r="W25" s="76"/>
      <c r="X25" s="76"/>
      <c r="Y25" s="76"/>
      <c r="Z25" s="517"/>
      <c r="AA25" s="511"/>
    </row>
    <row r="26" spans="1:27" ht="15.75" customHeight="1" x14ac:dyDescent="0.2">
      <c r="A26" s="142"/>
      <c r="B26" s="143"/>
      <c r="C26" s="211"/>
      <c r="D26" s="211" t="s">
        <v>378</v>
      </c>
      <c r="E26" s="598">
        <f>Rfb_recommend</f>
        <v>245</v>
      </c>
      <c r="F26" s="529" t="s">
        <v>21</v>
      </c>
      <c r="G26" s="90"/>
      <c r="H26" s="90"/>
      <c r="I26" s="50"/>
      <c r="J26" s="50"/>
      <c r="K26" s="50"/>
      <c r="L26" s="50"/>
      <c r="M26" s="50"/>
      <c r="N26" s="50"/>
      <c r="O26" s="50"/>
      <c r="P26" s="50"/>
      <c r="Q26" s="50"/>
      <c r="R26" s="83"/>
      <c r="S26" s="83"/>
      <c r="T26" s="76"/>
      <c r="U26" s="76"/>
      <c r="V26" s="76"/>
      <c r="W26" s="76"/>
      <c r="X26" s="76"/>
      <c r="Y26" s="76"/>
      <c r="Z26" s="517"/>
      <c r="AA26" s="511"/>
    </row>
    <row r="27" spans="1:27" ht="15.75" customHeight="1" thickBot="1" x14ac:dyDescent="0.25">
      <c r="A27" s="136"/>
      <c r="B27" s="135"/>
      <c r="C27" s="137"/>
      <c r="D27" s="154" t="s">
        <v>377</v>
      </c>
      <c r="E27" s="155">
        <v>246</v>
      </c>
      <c r="F27" s="149" t="str">
        <f>IF(Vout=Vref,"","kΩ")</f>
        <v>kΩ</v>
      </c>
      <c r="G27" s="90"/>
      <c r="H27" s="90"/>
      <c r="I27" s="50"/>
      <c r="J27" s="50"/>
      <c r="K27" s="50"/>
      <c r="L27" s="50"/>
      <c r="M27" s="50"/>
      <c r="N27" s="50"/>
      <c r="O27" s="50"/>
      <c r="P27" s="50"/>
      <c r="Q27" s="50"/>
      <c r="R27" s="83"/>
      <c r="S27" s="83"/>
      <c r="T27" s="76"/>
      <c r="U27" s="76"/>
      <c r="V27" s="76"/>
      <c r="W27" s="76"/>
      <c r="X27" s="76"/>
      <c r="Y27" s="76"/>
      <c r="Z27" s="517"/>
      <c r="AA27" s="511"/>
    </row>
    <row r="28" spans="1:27" ht="14.1" customHeight="1" x14ac:dyDescent="0.2">
      <c r="A28" s="395"/>
      <c r="B28" s="396"/>
      <c r="C28" s="397"/>
      <c r="D28" s="398" t="s">
        <v>293</v>
      </c>
      <c r="E28" s="399"/>
      <c r="F28" s="400"/>
      <c r="G28" s="91"/>
      <c r="H28" s="90"/>
      <c r="I28" s="50"/>
      <c r="J28" s="50"/>
      <c r="K28" s="50"/>
      <c r="L28" s="50"/>
      <c r="M28" s="50"/>
      <c r="N28" s="50"/>
      <c r="O28" s="50"/>
      <c r="P28" s="50"/>
      <c r="Q28" s="50"/>
      <c r="R28" s="83"/>
      <c r="S28" s="83"/>
      <c r="T28" s="76"/>
      <c r="U28" s="76"/>
      <c r="V28" s="76"/>
      <c r="W28" s="76"/>
      <c r="X28" s="76"/>
      <c r="Y28" s="76"/>
      <c r="Z28" s="517"/>
      <c r="AA28" s="511"/>
    </row>
    <row r="29" spans="1:27" ht="16.5" customHeight="1" x14ac:dyDescent="0.2">
      <c r="A29" s="136"/>
      <c r="B29" s="135"/>
      <c r="C29" s="135"/>
      <c r="D29" s="151" t="str">
        <f>CHOOSE(MODE_SS,"Soft-Start Time","*Leave SS Pin Open or Supply by Ext. Bias")</f>
        <v>*Leave SS Pin Open or Supply by Ext. Bias</v>
      </c>
      <c r="E29" s="152">
        <v>8</v>
      </c>
      <c r="F29" s="149" t="s">
        <v>63</v>
      </c>
      <c r="G29" s="91"/>
      <c r="H29" s="90"/>
      <c r="I29" s="50"/>
      <c r="J29" s="50"/>
      <c r="K29" s="50"/>
      <c r="L29" s="50"/>
      <c r="M29" s="50"/>
      <c r="N29" s="50"/>
      <c r="O29" s="50"/>
      <c r="P29" s="50"/>
      <c r="Q29" s="50"/>
      <c r="R29" s="83"/>
      <c r="S29" s="83"/>
      <c r="T29" s="76"/>
      <c r="U29" s="76"/>
      <c r="V29" s="76"/>
      <c r="W29" s="76"/>
      <c r="X29" s="76"/>
      <c r="Y29" s="76"/>
      <c r="Z29" s="517"/>
      <c r="AA29" s="511"/>
    </row>
    <row r="30" spans="1:27" ht="16.5" customHeight="1" thickBot="1" x14ac:dyDescent="0.35">
      <c r="A30" s="139"/>
      <c r="B30" s="140"/>
      <c r="C30" s="140"/>
      <c r="D30" s="378" t="s">
        <v>142</v>
      </c>
      <c r="E30" s="394">
        <f>IF(Tss&gt;0.0001,Css_u*1000000000,"N/A")</f>
        <v>39</v>
      </c>
      <c r="F30" s="141" t="s">
        <v>56</v>
      </c>
      <c r="G30" s="91"/>
      <c r="H30" s="90"/>
      <c r="I30" s="50"/>
      <c r="J30" s="50"/>
      <c r="K30" s="50"/>
      <c r="L30" s="50"/>
      <c r="M30" s="50"/>
      <c r="N30" s="50"/>
      <c r="O30" s="50"/>
      <c r="P30" s="50"/>
      <c r="Q30" s="50"/>
      <c r="R30" s="83"/>
      <c r="S30" s="83"/>
      <c r="T30" s="76"/>
      <c r="U30" s="76"/>
      <c r="V30" s="76"/>
      <c r="W30" s="76"/>
      <c r="X30" s="76"/>
      <c r="Y30" s="76"/>
      <c r="Z30" s="517"/>
      <c r="AA30" s="511"/>
    </row>
    <row r="31" spans="1:27" ht="15.75" customHeight="1" x14ac:dyDescent="0.2">
      <c r="A31" s="136"/>
      <c r="B31" s="135"/>
      <c r="C31" s="135"/>
      <c r="D31" s="87" t="s">
        <v>391</v>
      </c>
      <c r="E31" s="150"/>
      <c r="F31" s="138"/>
      <c r="G31" s="90"/>
      <c r="H31" s="90"/>
      <c r="I31" s="50"/>
      <c r="J31" s="50"/>
      <c r="K31" s="50"/>
      <c r="L31" s="50"/>
      <c r="M31" s="50"/>
      <c r="N31" s="50"/>
      <c r="O31" s="50"/>
      <c r="P31" s="50"/>
      <c r="Q31" s="50"/>
      <c r="R31" s="83"/>
      <c r="S31" s="83"/>
      <c r="T31" s="76"/>
      <c r="U31" s="76"/>
      <c r="V31" s="76"/>
      <c r="W31" s="76"/>
      <c r="X31" s="76"/>
      <c r="Y31" s="76"/>
      <c r="Z31" s="517"/>
      <c r="AA31" s="511"/>
    </row>
    <row r="32" spans="1:27" ht="15.75" customHeight="1" x14ac:dyDescent="0.2">
      <c r="A32" s="136"/>
      <c r="B32" s="135"/>
      <c r="C32" s="135"/>
      <c r="D32" s="87" t="str">
        <f>CHOOSE(TC,"Diode Voltage Drop Thermal Coefficient","*Leave TC Pin Open")</f>
        <v>*Leave TC Pin Open</v>
      </c>
      <c r="E32" s="602">
        <v>-1.2</v>
      </c>
      <c r="F32" s="138" t="s">
        <v>390</v>
      </c>
      <c r="G32" s="90"/>
      <c r="H32" s="90"/>
      <c r="I32" s="50"/>
      <c r="J32" s="50"/>
      <c r="K32" s="50"/>
      <c r="L32" s="50"/>
      <c r="M32" s="50"/>
      <c r="N32" s="50"/>
      <c r="O32" s="50"/>
      <c r="P32" s="50"/>
      <c r="Q32" s="50"/>
      <c r="R32" s="83"/>
      <c r="S32" s="83"/>
      <c r="T32" s="76"/>
      <c r="U32" s="76"/>
      <c r="V32" s="76"/>
      <c r="W32" s="76"/>
      <c r="X32" s="76"/>
      <c r="Y32" s="76"/>
      <c r="Z32" s="517"/>
      <c r="AA32" s="511"/>
    </row>
    <row r="33" spans="1:35" ht="15.75" customHeight="1" thickBot="1" x14ac:dyDescent="0.25">
      <c r="A33" s="139"/>
      <c r="B33" s="156"/>
      <c r="C33" s="156"/>
      <c r="D33" s="518" t="s">
        <v>392</v>
      </c>
      <c r="E33" s="539">
        <f>RTC</f>
        <v>309</v>
      </c>
      <c r="F33" s="540" t="s">
        <v>21</v>
      </c>
      <c r="G33" s="90"/>
      <c r="H33" s="90"/>
      <c r="I33" s="50"/>
      <c r="J33" s="50"/>
      <c r="K33" s="74"/>
      <c r="L33" s="50"/>
      <c r="M33" s="50"/>
      <c r="N33" s="50"/>
      <c r="O33" s="50"/>
      <c r="P33" s="50"/>
      <c r="Q33" s="50"/>
      <c r="R33" s="83"/>
      <c r="S33" s="83"/>
      <c r="T33" s="76"/>
      <c r="U33" s="76"/>
      <c r="V33" s="76"/>
      <c r="W33" s="76"/>
      <c r="X33" s="76"/>
      <c r="Y33" s="76"/>
      <c r="Z33" s="517"/>
      <c r="AA33" s="511"/>
    </row>
    <row r="34" spans="1:35" ht="16.5" customHeight="1" x14ac:dyDescent="0.2">
      <c r="A34" s="136"/>
      <c r="B34" s="135"/>
      <c r="C34" s="135"/>
      <c r="D34" s="154" t="s">
        <v>307</v>
      </c>
      <c r="E34" s="150"/>
      <c r="F34" s="138"/>
      <c r="G34" s="90"/>
      <c r="H34" s="90"/>
      <c r="I34" s="50"/>
      <c r="J34" s="50"/>
      <c r="K34" s="50"/>
      <c r="L34" s="50"/>
      <c r="M34" s="50"/>
      <c r="N34" s="50"/>
      <c r="O34" s="50"/>
      <c r="P34" s="50"/>
      <c r="Q34" s="50"/>
      <c r="R34" s="83"/>
      <c r="S34" s="83"/>
      <c r="T34" s="76"/>
      <c r="U34" s="76"/>
      <c r="V34" s="76"/>
      <c r="W34" s="76"/>
      <c r="X34" s="76"/>
      <c r="Y34" s="76"/>
      <c r="Z34" s="517"/>
      <c r="AA34" s="511"/>
    </row>
    <row r="35" spans="1:35" ht="15.75" customHeight="1" x14ac:dyDescent="0.2">
      <c r="A35" s="136"/>
      <c r="B35" s="135"/>
      <c r="C35" s="153"/>
      <c r="D35" s="154" t="str">
        <f>CHOOSE(MODE_UVLO, "Input UVLO Turn-On Threshold", "*Connect EN pin to VIN or Logic HIGH")</f>
        <v>Input UVLO Turn-On Threshold</v>
      </c>
      <c r="E35" s="155">
        <v>4.5</v>
      </c>
      <c r="F35" s="149" t="s">
        <v>0</v>
      </c>
      <c r="G35" s="90"/>
      <c r="H35" s="90"/>
      <c r="I35" s="83"/>
      <c r="J35" s="83"/>
      <c r="K35" s="83"/>
      <c r="L35" s="215"/>
      <c r="M35" s="50"/>
      <c r="N35" s="50"/>
      <c r="O35" s="50"/>
      <c r="P35" s="50"/>
      <c r="Q35" s="50"/>
      <c r="R35" s="83"/>
      <c r="S35" s="83"/>
      <c r="T35" s="76"/>
      <c r="U35" s="76"/>
      <c r="V35" s="76"/>
      <c r="W35" s="76"/>
      <c r="X35" s="76"/>
      <c r="Y35" s="76"/>
      <c r="Z35" s="517"/>
      <c r="AA35" s="511"/>
    </row>
    <row r="36" spans="1:35" ht="15.75" customHeight="1" thickBot="1" x14ac:dyDescent="0.25">
      <c r="A36" s="139"/>
      <c r="B36" s="156"/>
      <c r="C36" s="156"/>
      <c r="D36" s="439" t="str">
        <f>CHOOSE(MODE_UVLO, "Input UVLO Turn-Off Threshold", "")</f>
        <v>Input UVLO Turn-Off Threshold</v>
      </c>
      <c r="E36" s="440">
        <v>3.5</v>
      </c>
      <c r="F36" s="441" t="s">
        <v>0</v>
      </c>
      <c r="G36" s="90"/>
      <c r="H36" s="137"/>
      <c r="I36" s="216"/>
      <c r="J36" s="218"/>
      <c r="K36" s="83"/>
      <c r="L36" s="83"/>
      <c r="M36" s="50"/>
      <c r="N36" s="50"/>
      <c r="O36" s="50"/>
      <c r="P36" s="50"/>
      <c r="Q36" s="50"/>
      <c r="R36" s="83"/>
      <c r="S36" s="83"/>
      <c r="T36" s="76"/>
      <c r="U36" s="76"/>
      <c r="V36" s="76"/>
      <c r="W36" s="76"/>
      <c r="X36" s="76"/>
      <c r="Y36" s="76"/>
      <c r="Z36" s="517"/>
      <c r="AA36" s="511"/>
    </row>
    <row r="37" spans="1:35" ht="15.75" customHeight="1" x14ac:dyDescent="0.2">
      <c r="A37" s="464"/>
      <c r="B37" s="135"/>
      <c r="C37" s="153"/>
      <c r="D37" s="137" t="s">
        <v>382</v>
      </c>
      <c r="E37" s="589">
        <f>'Variable Mgmt'!F149</f>
        <v>169</v>
      </c>
      <c r="F37" s="138" t="s">
        <v>21</v>
      </c>
      <c r="G37" s="90"/>
      <c r="H37" s="220"/>
      <c r="I37" s="151"/>
      <c r="J37" s="600"/>
      <c r="K37" s="219"/>
      <c r="L37" s="83"/>
      <c r="M37" s="50"/>
      <c r="N37" s="50"/>
      <c r="O37" s="50"/>
      <c r="P37" s="50"/>
      <c r="Q37" s="50"/>
      <c r="R37" s="83"/>
      <c r="S37" s="83"/>
      <c r="T37" s="76"/>
      <c r="U37" s="76"/>
      <c r="V37" s="76"/>
      <c r="W37" s="76"/>
      <c r="X37" s="76"/>
      <c r="Y37" s="76"/>
      <c r="Z37" s="517"/>
      <c r="AA37" s="511"/>
    </row>
    <row r="38" spans="1:35" ht="15.75" customHeight="1" thickBot="1" x14ac:dyDescent="0.25">
      <c r="A38" s="139"/>
      <c r="B38" s="156"/>
      <c r="C38" s="156"/>
      <c r="D38" s="518" t="s">
        <v>295</v>
      </c>
      <c r="E38" s="519">
        <f>'Variable Mgmt'!F150</f>
        <v>84.5</v>
      </c>
      <c r="F38" s="141" t="s">
        <v>21</v>
      </c>
      <c r="G38" s="90"/>
      <c r="H38" s="90"/>
      <c r="I38" s="83"/>
      <c r="J38" s="217"/>
      <c r="K38" s="83"/>
      <c r="L38" s="83"/>
      <c r="M38" s="50"/>
      <c r="N38" s="50"/>
      <c r="O38" s="50"/>
      <c r="P38" s="50"/>
      <c r="Q38" s="50" t="s">
        <v>78</v>
      </c>
      <c r="R38" s="83"/>
      <c r="S38" s="83"/>
      <c r="T38" s="76"/>
      <c r="U38" s="76"/>
      <c r="V38" s="76"/>
      <c r="W38" s="76"/>
      <c r="X38" s="76"/>
      <c r="Y38" s="76"/>
      <c r="Z38" s="517"/>
      <c r="AA38" s="511"/>
    </row>
    <row r="39" spans="1:35" ht="13.5" customHeight="1" x14ac:dyDescent="0.2">
      <c r="A39" s="464"/>
      <c r="B39" s="520"/>
      <c r="C39" s="520"/>
      <c r="D39" s="521"/>
      <c r="E39" s="522"/>
      <c r="F39" s="523"/>
      <c r="G39" s="90"/>
      <c r="H39" s="90"/>
      <c r="I39" s="50"/>
      <c r="J39" s="75"/>
      <c r="K39" s="50"/>
      <c r="L39" s="50"/>
      <c r="M39" s="50"/>
      <c r="N39" s="50"/>
      <c r="O39" s="50"/>
      <c r="P39" s="50"/>
      <c r="Q39" s="50"/>
      <c r="R39" s="83"/>
      <c r="S39" s="83"/>
      <c r="T39" s="76"/>
      <c r="U39" s="76"/>
      <c r="V39" s="76"/>
      <c r="W39" s="76"/>
      <c r="X39" s="76"/>
      <c r="Y39" s="76"/>
      <c r="Z39" s="517"/>
      <c r="AA39" s="511"/>
    </row>
    <row r="40" spans="1:35" ht="19.5" customHeight="1" thickBot="1" x14ac:dyDescent="0.25">
      <c r="A40" s="465" t="s">
        <v>509</v>
      </c>
      <c r="B40" s="90"/>
      <c r="C40" s="90"/>
      <c r="D40" s="88"/>
      <c r="E40" s="100"/>
      <c r="F40" s="90"/>
      <c r="G40" s="90"/>
      <c r="H40" s="90"/>
      <c r="I40" s="50"/>
      <c r="J40" s="75"/>
      <c r="K40" s="50"/>
      <c r="L40" s="50"/>
      <c r="M40" s="50"/>
      <c r="N40" s="50"/>
      <c r="O40" s="50"/>
      <c r="P40" s="50"/>
      <c r="Q40" s="50"/>
      <c r="R40" s="83"/>
      <c r="S40" s="83"/>
      <c r="T40" s="76"/>
      <c r="U40" s="76"/>
      <c r="V40" s="76"/>
      <c r="W40" s="76"/>
      <c r="X40" s="76"/>
      <c r="Y40" s="76"/>
      <c r="Z40" s="517"/>
      <c r="AA40" s="511"/>
    </row>
    <row r="41" spans="1:35" ht="15.75" customHeight="1" x14ac:dyDescent="0.25">
      <c r="A41" s="585"/>
      <c r="B41" s="512"/>
      <c r="C41" s="512"/>
      <c r="D41" s="586" t="s">
        <v>665</v>
      </c>
      <c r="E41" s="590">
        <v>0.25</v>
      </c>
      <c r="F41" s="587" t="s">
        <v>0</v>
      </c>
      <c r="G41" s="90"/>
      <c r="H41" s="90"/>
      <c r="I41" s="50"/>
      <c r="J41" s="75"/>
      <c r="K41" s="50"/>
      <c r="L41" s="50"/>
      <c r="M41" s="50"/>
      <c r="N41" s="50"/>
      <c r="O41" s="50"/>
      <c r="P41" s="50"/>
      <c r="Q41" s="50"/>
      <c r="R41" s="83"/>
      <c r="S41" s="83"/>
      <c r="T41" s="76"/>
      <c r="U41" s="76"/>
      <c r="V41" s="76"/>
      <c r="W41" s="76"/>
      <c r="X41" s="76"/>
      <c r="Y41" s="76"/>
      <c r="Z41" s="517"/>
      <c r="AA41" s="511"/>
    </row>
    <row r="42" spans="1:35" ht="15.75" customHeight="1" x14ac:dyDescent="0.25">
      <c r="A42" s="431"/>
      <c r="B42" s="76"/>
      <c r="C42" s="76"/>
      <c r="D42" s="648" t="s">
        <v>666</v>
      </c>
      <c r="E42" s="99">
        <v>0.3</v>
      </c>
      <c r="F42" s="436" t="s">
        <v>0</v>
      </c>
      <c r="G42" s="90"/>
      <c r="H42" s="90"/>
      <c r="I42" s="50"/>
      <c r="J42" s="75"/>
      <c r="K42" s="50"/>
      <c r="L42" s="50"/>
      <c r="M42" s="50"/>
      <c r="N42" s="50"/>
      <c r="O42" s="50"/>
      <c r="P42" s="50"/>
      <c r="Q42" s="50"/>
      <c r="R42" s="83"/>
      <c r="S42" s="83"/>
      <c r="T42" s="76"/>
      <c r="U42" s="76"/>
      <c r="V42" s="76"/>
      <c r="W42" s="76"/>
      <c r="X42" s="76"/>
      <c r="Y42" s="76"/>
      <c r="Z42" s="517"/>
      <c r="AA42" s="511"/>
    </row>
    <row r="43" spans="1:35" ht="15.75" customHeight="1" x14ac:dyDescent="0.2">
      <c r="A43" s="89"/>
      <c r="B43" s="135"/>
      <c r="C43" s="135"/>
      <c r="D43" s="154" t="s">
        <v>306</v>
      </c>
      <c r="E43" s="584">
        <v>77</v>
      </c>
      <c r="F43" s="437" t="s">
        <v>84</v>
      </c>
      <c r="G43" s="90"/>
      <c r="H43" s="90"/>
      <c r="I43" s="50"/>
      <c r="J43" s="75"/>
      <c r="K43" s="50"/>
      <c r="L43" s="50"/>
      <c r="M43" s="50"/>
      <c r="N43" s="50"/>
      <c r="O43" s="50"/>
      <c r="P43" s="50"/>
      <c r="Q43" s="50"/>
      <c r="R43" s="83"/>
      <c r="S43" s="83"/>
      <c r="T43" s="76"/>
      <c r="U43" s="76"/>
      <c r="V43" s="76"/>
      <c r="W43" s="76"/>
      <c r="X43" s="76"/>
      <c r="Y43" s="76"/>
      <c r="Z43" s="517"/>
      <c r="AA43" s="511"/>
    </row>
    <row r="44" spans="1:35" ht="15.75" customHeight="1" x14ac:dyDescent="0.25">
      <c r="A44" s="89"/>
      <c r="B44" s="90"/>
      <c r="C44" s="90"/>
      <c r="D44" s="87" t="s">
        <v>520</v>
      </c>
      <c r="E44" s="379">
        <v>25</v>
      </c>
      <c r="F44" s="436" t="s">
        <v>102</v>
      </c>
      <c r="G44" s="90"/>
      <c r="H44" s="90"/>
      <c r="I44" s="50"/>
      <c r="J44" s="50"/>
      <c r="K44" s="50"/>
      <c r="L44" s="50"/>
      <c r="M44" s="50"/>
      <c r="N44" s="50"/>
      <c r="O44" s="50"/>
      <c r="P44" s="50"/>
      <c r="Q44" s="50"/>
      <c r="R44" s="83"/>
      <c r="S44" s="83"/>
      <c r="T44" s="76"/>
      <c r="U44" s="76"/>
      <c r="V44" s="76"/>
      <c r="W44" s="76"/>
      <c r="X44" s="76"/>
      <c r="Y44" s="76"/>
      <c r="Z44" s="517"/>
      <c r="AA44" s="511"/>
    </row>
    <row r="45" spans="1:35" ht="15.75" customHeight="1" x14ac:dyDescent="0.3">
      <c r="A45" s="89"/>
      <c r="B45" s="90"/>
      <c r="C45" s="90"/>
      <c r="D45" s="88" t="s">
        <v>707</v>
      </c>
      <c r="E45" s="375">
        <f>CHOOSE(MODE, 'Calculations - Single'!BM105, 'Calculations - Dual'!BK105)</f>
        <v>124.70377954886541</v>
      </c>
      <c r="F45" s="104" t="s">
        <v>294</v>
      </c>
      <c r="G45" s="90"/>
      <c r="H45" s="90"/>
      <c r="I45" s="50"/>
      <c r="J45" s="50"/>
      <c r="K45" s="50"/>
      <c r="L45" s="50"/>
      <c r="M45" s="50"/>
      <c r="N45" s="50"/>
      <c r="O45" s="50"/>
      <c r="P45" s="50"/>
      <c r="Q45" s="50"/>
      <c r="R45" s="83"/>
      <c r="S45" s="83"/>
      <c r="T45" s="76"/>
      <c r="U45" s="76"/>
      <c r="V45" s="76"/>
      <c r="W45" s="76"/>
      <c r="X45" s="76"/>
      <c r="Y45" s="76"/>
      <c r="Z45" s="517"/>
      <c r="AA45" s="511"/>
    </row>
    <row r="46" spans="1:35" ht="15.75" customHeight="1" thickBot="1" x14ac:dyDescent="0.35">
      <c r="A46" s="102"/>
      <c r="B46" s="103"/>
      <c r="C46" s="103"/>
      <c r="D46" s="378" t="s">
        <v>708</v>
      </c>
      <c r="E46" s="528">
        <f>E44+E45/1000*ThetaJA</f>
        <v>34.602191025262634</v>
      </c>
      <c r="F46" s="438" t="s">
        <v>102</v>
      </c>
      <c r="G46" s="90"/>
      <c r="H46" s="90"/>
      <c r="I46" s="50"/>
      <c r="J46" s="50"/>
      <c r="K46" s="50"/>
      <c r="L46" s="50"/>
      <c r="M46" s="50"/>
      <c r="N46" s="50"/>
      <c r="O46" s="50"/>
      <c r="P46" s="50"/>
      <c r="Q46" s="50"/>
      <c r="R46" s="83"/>
      <c r="S46" s="83"/>
      <c r="T46" s="76"/>
      <c r="U46" s="76"/>
      <c r="V46" s="76"/>
      <c r="W46" s="76"/>
      <c r="X46" s="76"/>
      <c r="Y46" s="76"/>
      <c r="Z46" s="517"/>
      <c r="AA46" s="511"/>
    </row>
    <row r="47" spans="1:35" ht="15.75" customHeight="1" thickBot="1" x14ac:dyDescent="0.25">
      <c r="A47" s="102"/>
      <c r="B47" s="105"/>
      <c r="C47" s="105"/>
      <c r="D47" s="105"/>
      <c r="E47" s="578"/>
      <c r="F47" s="105"/>
      <c r="G47" s="105"/>
      <c r="H47" s="105"/>
      <c r="I47" s="515"/>
      <c r="J47" s="515"/>
      <c r="K47" s="515"/>
      <c r="L47" s="515"/>
      <c r="M47" s="515"/>
      <c r="N47" s="515"/>
      <c r="O47" s="515"/>
      <c r="P47" s="515"/>
      <c r="Q47" s="515"/>
      <c r="R47" s="513"/>
      <c r="S47" s="513"/>
      <c r="T47" s="513"/>
      <c r="U47" s="514"/>
      <c r="V47" s="514"/>
      <c r="W47" s="513"/>
      <c r="X47" s="513"/>
      <c r="Y47" s="513"/>
      <c r="Z47" s="579"/>
      <c r="AA47" s="511"/>
      <c r="AB47" s="23"/>
      <c r="AC47" s="23"/>
      <c r="AD47" s="23"/>
      <c r="AG47" s="23"/>
      <c r="AH47" s="23"/>
      <c r="AI47" s="23"/>
    </row>
    <row r="48" spans="1:35" x14ac:dyDescent="0.2">
      <c r="A48" s="421"/>
      <c r="B48" s="422"/>
      <c r="C48" s="423"/>
      <c r="D48" s="423"/>
      <c r="E48" s="423"/>
      <c r="F48" s="423"/>
      <c r="G48" s="423"/>
      <c r="H48" s="423"/>
      <c r="I48" s="423"/>
      <c r="J48" s="423"/>
      <c r="K48" s="423"/>
      <c r="L48" s="423"/>
      <c r="M48" s="423"/>
      <c r="N48" s="423"/>
      <c r="O48" s="423"/>
      <c r="P48" s="423"/>
      <c r="Q48" s="423"/>
      <c r="R48" s="420"/>
      <c r="S48" s="420"/>
      <c r="T48" s="420"/>
      <c r="U48" s="511"/>
      <c r="V48" s="511"/>
      <c r="W48" s="420"/>
      <c r="X48" s="420"/>
      <c r="Y48" s="420"/>
      <c r="Z48" s="511"/>
      <c r="AA48" s="511"/>
      <c r="AB48" s="23"/>
      <c r="AC48" s="23"/>
      <c r="AD48" s="23"/>
      <c r="AG48" s="23"/>
      <c r="AH48" s="23"/>
      <c r="AI48" s="23"/>
    </row>
    <row r="49" spans="1:35" x14ac:dyDescent="0.2">
      <c r="A49" s="46"/>
      <c r="B49" s="46"/>
      <c r="C49" s="46"/>
      <c r="D49" s="46"/>
      <c r="E49" s="46"/>
      <c r="F49" s="46"/>
      <c r="G49" s="46"/>
      <c r="H49" s="46"/>
      <c r="I49" s="46"/>
      <c r="J49" s="46"/>
      <c r="K49" s="46"/>
      <c r="L49" s="46"/>
      <c r="M49" s="46"/>
      <c r="N49" s="46"/>
      <c r="O49" s="46"/>
      <c r="P49" s="46"/>
      <c r="Q49" s="46"/>
      <c r="R49" s="23"/>
      <c r="S49" s="23"/>
      <c r="T49" s="23"/>
      <c r="W49" s="23"/>
      <c r="X49" s="23"/>
      <c r="Y49" s="23"/>
      <c r="AB49" s="23"/>
      <c r="AC49" s="23"/>
      <c r="AD49" s="23"/>
      <c r="AG49" s="23"/>
      <c r="AH49" s="23"/>
      <c r="AI49" s="23"/>
    </row>
    <row r="50" spans="1:35" x14ac:dyDescent="0.2">
      <c r="B50" s="46"/>
      <c r="C50" s="46"/>
      <c r="D50" s="46"/>
      <c r="E50" s="46"/>
      <c r="F50" s="46"/>
      <c r="G50" s="46"/>
      <c r="H50" s="46"/>
      <c r="I50" s="46"/>
      <c r="J50" s="46"/>
      <c r="K50" s="46"/>
      <c r="L50" s="46"/>
      <c r="R50" s="23"/>
      <c r="S50" s="23"/>
      <c r="T50" s="23"/>
      <c r="W50" s="23"/>
      <c r="X50" s="23"/>
      <c r="Y50" s="23"/>
      <c r="AB50" s="23"/>
      <c r="AC50" s="23"/>
      <c r="AD50" s="23"/>
      <c r="AG50" s="23"/>
      <c r="AH50" s="23"/>
      <c r="AI50" s="23"/>
    </row>
    <row r="51" spans="1:35" x14ac:dyDescent="0.2">
      <c r="B51" s="46"/>
      <c r="C51" s="46"/>
      <c r="D51" s="46"/>
      <c r="E51" s="46"/>
      <c r="F51" s="46"/>
      <c r="G51" s="46"/>
      <c r="H51" s="46"/>
      <c r="I51" s="46"/>
      <c r="J51" s="46"/>
      <c r="K51" s="46"/>
      <c r="L51" s="46"/>
      <c r="R51" s="23"/>
      <c r="S51" s="23"/>
      <c r="T51" s="23"/>
      <c r="W51" s="23"/>
      <c r="X51" s="23"/>
      <c r="Y51" s="23"/>
      <c r="AB51" s="23"/>
      <c r="AC51" s="23"/>
      <c r="AD51" s="23"/>
      <c r="AG51" s="23"/>
      <c r="AH51" s="23"/>
      <c r="AI51" s="23"/>
    </row>
    <row r="52" spans="1:35" x14ac:dyDescent="0.2">
      <c r="B52" s="46"/>
      <c r="C52" s="46"/>
      <c r="D52" s="46"/>
      <c r="E52" s="46"/>
      <c r="F52" s="46"/>
      <c r="G52" s="46"/>
      <c r="H52" s="46"/>
      <c r="I52" s="46"/>
      <c r="J52" s="46"/>
      <c r="K52" s="46"/>
      <c r="L52" s="46"/>
      <c r="R52" s="23"/>
      <c r="S52" s="23"/>
      <c r="T52" s="23"/>
      <c r="W52" s="23"/>
      <c r="X52" s="23"/>
      <c r="Y52" s="23"/>
      <c r="AB52" s="23"/>
      <c r="AC52" s="23"/>
      <c r="AD52" s="23"/>
      <c r="AG52" s="23"/>
      <c r="AH52" s="23"/>
      <c r="AI52" s="23"/>
    </row>
    <row r="53" spans="1:35" x14ac:dyDescent="0.2">
      <c r="B53" s="46"/>
      <c r="C53" s="46"/>
      <c r="D53" s="46"/>
      <c r="E53" s="46"/>
      <c r="F53" s="46"/>
      <c r="G53" s="46"/>
      <c r="H53" s="46"/>
      <c r="I53" s="46"/>
      <c r="J53" s="46"/>
      <c r="K53" s="46"/>
      <c r="L53" s="46"/>
      <c r="R53" s="23"/>
      <c r="S53" s="23"/>
      <c r="T53" s="23"/>
      <c r="W53" s="23"/>
      <c r="X53" s="23"/>
      <c r="Y53" s="23"/>
      <c r="AB53" s="23"/>
      <c r="AC53" s="23"/>
      <c r="AD53" s="23"/>
      <c r="AG53" s="23"/>
      <c r="AH53" s="23"/>
      <c r="AI53" s="23"/>
    </row>
  </sheetData>
  <sheetProtection password="CCC8" sheet="1" objects="1" scenarios="1" selectLockedCells="1"/>
  <phoneticPr fontId="6" type="noConversion"/>
  <conditionalFormatting sqref="E6:E8">
    <cfRule type="cellIs" dxfId="59" priority="101" stopIfTrue="1" operator="notBetween">
      <formula>42</formula>
      <formula>4.5</formula>
    </cfRule>
  </conditionalFormatting>
  <conditionalFormatting sqref="E10">
    <cfRule type="cellIs" dxfId="58" priority="98" stopIfTrue="1" operator="notBetween">
      <formula>-200</formula>
      <formula>200</formula>
    </cfRule>
  </conditionalFormatting>
  <conditionalFormatting sqref="E21">
    <cfRule type="cellIs" dxfId="57" priority="95" stopIfTrue="1" operator="lessThan">
      <formula>$E$20</formula>
    </cfRule>
  </conditionalFormatting>
  <conditionalFormatting sqref="E17">
    <cfRule type="cellIs" dxfId="56" priority="91" stopIfTrue="1" operator="lessThan">
      <formula>$E$16</formula>
    </cfRule>
  </conditionalFormatting>
  <conditionalFormatting sqref="E18">
    <cfRule type="cellIs" dxfId="55" priority="90" stopIfTrue="1" operator="equal">
      <formula>0</formula>
    </cfRule>
  </conditionalFormatting>
  <conditionalFormatting sqref="E35">
    <cfRule type="cellIs" dxfId="54" priority="87" operator="notBetween">
      <formula>70</formula>
      <formula>4.5</formula>
    </cfRule>
  </conditionalFormatting>
  <conditionalFormatting sqref="E29">
    <cfRule type="cellIs" dxfId="53" priority="85" operator="lessThan">
      <formula>6</formula>
    </cfRule>
  </conditionalFormatting>
  <conditionalFormatting sqref="F14">
    <cfRule type="expression" dxfId="52" priority="74">
      <formula>(MODE=2)</formula>
    </cfRule>
  </conditionalFormatting>
  <conditionalFormatting sqref="E29:F29">
    <cfRule type="expression" dxfId="51" priority="69">
      <formula>OR(MODE_SS=2,MODE_SS=3)</formula>
    </cfRule>
  </conditionalFormatting>
  <conditionalFormatting sqref="D29">
    <cfRule type="expression" dxfId="50" priority="68">
      <formula>OR(MODE_SS=2,MODE_SS=3)</formula>
    </cfRule>
  </conditionalFormatting>
  <conditionalFormatting sqref="D30:F30">
    <cfRule type="expression" dxfId="49" priority="67">
      <formula>OR(MODE_SS=2,MODE_SS=3)</formula>
    </cfRule>
  </conditionalFormatting>
  <conditionalFormatting sqref="D35">
    <cfRule type="expression" dxfId="48" priority="65">
      <formula>MODE_UVLO=2</formula>
    </cfRule>
  </conditionalFormatting>
  <conditionalFormatting sqref="C37:F39 E35:F36">
    <cfRule type="expression" dxfId="47" priority="39">
      <formula>MODE_UVLO=2</formula>
    </cfRule>
  </conditionalFormatting>
  <conditionalFormatting sqref="D36">
    <cfRule type="expression" dxfId="46" priority="62">
      <formula>MODE_UVLO=2</formula>
    </cfRule>
  </conditionalFormatting>
  <conditionalFormatting sqref="E46">
    <cfRule type="cellIs" dxfId="45" priority="47" operator="notBetween">
      <formula>-40</formula>
      <formula>150</formula>
    </cfRule>
  </conditionalFormatting>
  <conditionalFormatting sqref="E44">
    <cfRule type="cellIs" dxfId="44" priority="46" operator="notBetween">
      <formula>-40</formula>
      <formula>150</formula>
    </cfRule>
  </conditionalFormatting>
  <conditionalFormatting sqref="F20">
    <cfRule type="cellIs" dxfId="43" priority="45" stopIfTrue="1" operator="lessThanOrEqual">
      <formula>0</formula>
    </cfRule>
  </conditionalFormatting>
  <conditionalFormatting sqref="A36:F36">
    <cfRule type="expression" dxfId="42" priority="29">
      <formula>MODE_UVLO=1</formula>
    </cfRule>
  </conditionalFormatting>
  <conditionalFormatting sqref="A39:F39">
    <cfRule type="expression" dxfId="41" priority="38">
      <formula>MODE_UVLO=2</formula>
    </cfRule>
  </conditionalFormatting>
  <conditionalFormatting sqref="F37:F38">
    <cfRule type="expression" dxfId="40" priority="37">
      <formula>MODE_UVLO=2</formula>
    </cfRule>
  </conditionalFormatting>
  <conditionalFormatting sqref="E36">
    <cfRule type="cellIs" dxfId="39" priority="63" operator="notBetween">
      <formula>3.5</formula>
      <formula>$E$35</formula>
    </cfRule>
  </conditionalFormatting>
  <conditionalFormatting sqref="F16">
    <cfRule type="cellIs" dxfId="38" priority="27" stopIfTrue="1" operator="lessThanOrEqual">
      <formula>0</formula>
    </cfRule>
  </conditionalFormatting>
  <conditionalFormatting sqref="E11">
    <cfRule type="cellIs" dxfId="37" priority="26" operator="between">
      <formula>-0.0099</formula>
      <formula>0.0099</formula>
    </cfRule>
  </conditionalFormatting>
  <conditionalFormatting sqref="E11">
    <cfRule type="expression" dxfId="36" priority="53">
      <formula>"Iout&gt;2"</formula>
    </cfRule>
  </conditionalFormatting>
  <conditionalFormatting sqref="J37">
    <cfRule type="cellIs" dxfId="35" priority="109" stopIfTrue="1" operator="notBetween">
      <formula>600</formula>
      <formula>50</formula>
    </cfRule>
    <cfRule type="cellIs" dxfId="34" priority="110" stopIfTrue="1" operator="greaterThan">
      <formula>$E$9</formula>
    </cfRule>
  </conditionalFormatting>
  <conditionalFormatting sqref="E12">
    <cfRule type="cellIs" dxfId="33" priority="25" operator="notBetween">
      <formula>-200</formula>
      <formula>200</formula>
    </cfRule>
  </conditionalFormatting>
  <conditionalFormatting sqref="E13">
    <cfRule type="cellIs" dxfId="32" priority="23" operator="between">
      <formula>-0.0099</formula>
      <formula>0.0099</formula>
    </cfRule>
  </conditionalFormatting>
  <conditionalFormatting sqref="E13">
    <cfRule type="expression" dxfId="31" priority="24">
      <formula>Iout2 &gt; 2</formula>
    </cfRule>
  </conditionalFormatting>
  <conditionalFormatting sqref="E22">
    <cfRule type="cellIs" dxfId="30" priority="19" stopIfTrue="1" operator="equal">
      <formula>0</formula>
    </cfRule>
  </conditionalFormatting>
  <conditionalFormatting sqref="D32">
    <cfRule type="expression" dxfId="29" priority="14">
      <formula>OR(TC=2)</formula>
    </cfRule>
  </conditionalFormatting>
  <conditionalFormatting sqref="D33:F33 E32:F32">
    <cfRule type="expression" dxfId="28" priority="13">
      <formula>OR(TC=2)</formula>
    </cfRule>
  </conditionalFormatting>
  <conditionalFormatting sqref="L22">
    <cfRule type="cellIs" dxfId="27" priority="7" stopIfTrue="1" operator="equal">
      <formula>0</formula>
    </cfRule>
  </conditionalFormatting>
  <conditionalFormatting sqref="L21">
    <cfRule type="cellIs" dxfId="26" priority="9" stopIfTrue="1" operator="lessThan">
      <formula>$L$20</formula>
    </cfRule>
  </conditionalFormatting>
  <conditionalFormatting sqref="M20">
    <cfRule type="cellIs" dxfId="25" priority="8" stopIfTrue="1" operator="lessThanOrEqual">
      <formula>0</formula>
    </cfRule>
  </conditionalFormatting>
  <hyperlinks>
    <hyperlink ref="C3" r:id="rId1" xr:uid="{00000000-0004-0000-0000-000000000000}"/>
  </hyperlinks>
  <printOptions horizontalCentered="1" verticalCentered="1"/>
  <pageMargins left="0.1" right="0.1" top="0.1" bottom="0.1" header="0.25" footer="0.25"/>
  <pageSetup scale="61" orientation="landscape" r:id="rId2"/>
  <headerFooter alignWithMargins="0"/>
  <rowBreaks count="1" manualBreakCount="1">
    <brk id="48" max="16383"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672895" r:id="rId6" name="Spinner 127">
              <controlPr defaultSize="0" autoPict="0">
                <anchor moveWithCells="1" sizeWithCells="1">
                  <from>
                    <xdr:col>5</xdr:col>
                    <xdr:colOff>123825</xdr:colOff>
                    <xdr:row>6</xdr:row>
                    <xdr:rowOff>9525</xdr:rowOff>
                  </from>
                  <to>
                    <xdr:col>5</xdr:col>
                    <xdr:colOff>304800</xdr:colOff>
                    <xdr:row>7</xdr:row>
                    <xdr:rowOff>28575</xdr:rowOff>
                  </to>
                </anchor>
              </controlPr>
            </control>
          </mc:Choice>
        </mc:AlternateContent>
        <mc:AlternateContent xmlns:mc="http://schemas.openxmlformats.org/markup-compatibility/2006">
          <mc:Choice Requires="x14">
            <control shapeId="672935" r:id="rId7" name="Drop Down 167">
              <controlPr defaultSize="0" autoLine="0" autoPict="0">
                <anchor moveWithCells="1">
                  <from>
                    <xdr:col>4</xdr:col>
                    <xdr:colOff>9525</xdr:colOff>
                    <xdr:row>27</xdr:row>
                    <xdr:rowOff>0</xdr:rowOff>
                  </from>
                  <to>
                    <xdr:col>5</xdr:col>
                    <xdr:colOff>276225</xdr:colOff>
                    <xdr:row>28</xdr:row>
                    <xdr:rowOff>28575</xdr:rowOff>
                  </to>
                </anchor>
              </controlPr>
            </control>
          </mc:Choice>
        </mc:AlternateContent>
        <mc:AlternateContent xmlns:mc="http://schemas.openxmlformats.org/markup-compatibility/2006">
          <mc:Choice Requires="x14">
            <control shapeId="673043" r:id="rId8" name="Drop Down 275">
              <controlPr defaultSize="0" autoLine="0" autoPict="0">
                <anchor moveWithCells="1">
                  <from>
                    <xdr:col>4</xdr:col>
                    <xdr:colOff>9525</xdr:colOff>
                    <xdr:row>33</xdr:row>
                    <xdr:rowOff>0</xdr:rowOff>
                  </from>
                  <to>
                    <xdr:col>5</xdr:col>
                    <xdr:colOff>257175</xdr:colOff>
                    <xdr:row>33</xdr:row>
                    <xdr:rowOff>200025</xdr:rowOff>
                  </to>
                </anchor>
              </controlPr>
            </control>
          </mc:Choice>
        </mc:AlternateContent>
        <mc:AlternateContent xmlns:mc="http://schemas.openxmlformats.org/markup-compatibility/2006">
          <mc:Choice Requires="x14">
            <control shapeId="697343" r:id="rId9" name="Drop Down 3071">
              <controlPr defaultSize="0" autoLine="0" autoPict="0">
                <anchor moveWithCells="1">
                  <from>
                    <xdr:col>11</xdr:col>
                    <xdr:colOff>9525</xdr:colOff>
                    <xdr:row>11</xdr:row>
                    <xdr:rowOff>0</xdr:rowOff>
                  </from>
                  <to>
                    <xdr:col>12</xdr:col>
                    <xdr:colOff>66675</xdr:colOff>
                    <xdr:row>12</xdr:row>
                    <xdr:rowOff>9525</xdr:rowOff>
                  </to>
                </anchor>
              </controlPr>
            </control>
          </mc:Choice>
        </mc:AlternateContent>
        <mc:AlternateContent xmlns:mc="http://schemas.openxmlformats.org/markup-compatibility/2006">
          <mc:Choice Requires="x14">
            <control shapeId="714798" r:id="rId10" name="Drop Down 3118">
              <controlPr defaultSize="0" autoLine="0" autoPict="0">
                <anchor moveWithCells="1">
                  <from>
                    <xdr:col>4</xdr:col>
                    <xdr:colOff>0</xdr:colOff>
                    <xdr:row>30</xdr:row>
                    <xdr:rowOff>9525</xdr:rowOff>
                  </from>
                  <to>
                    <xdr:col>5</xdr:col>
                    <xdr:colOff>266700</xdr:colOff>
                    <xdr:row>31</xdr:row>
                    <xdr:rowOff>9525</xdr:rowOff>
                  </to>
                </anchor>
              </controlPr>
            </control>
          </mc:Choice>
        </mc:AlternateContent>
        <mc:AlternateContent xmlns:mc="http://schemas.openxmlformats.org/markup-compatibility/2006">
          <mc:Choice Requires="x14">
            <control shapeId="715085" r:id="rId11" name="Drop Down 3405">
              <controlPr locked="0" defaultSize="0" autoLine="0" autoPict="0">
                <anchor moveWithCells="1">
                  <from>
                    <xdr:col>4</xdr:col>
                    <xdr:colOff>0</xdr:colOff>
                    <xdr:row>7</xdr:row>
                    <xdr:rowOff>190500</xdr:rowOff>
                  </from>
                  <to>
                    <xdr:col>5</xdr:col>
                    <xdr:colOff>76200</xdr:colOff>
                    <xdr:row>8</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9" id="{2F97F2FF-95A0-40C5-B045-6ADA68EA7C2F}">
            <xm:f>'Variable Mgmt'!$B$52</xm:f>
            <x14:dxf>
              <font>
                <strike val="0"/>
                <color theme="0"/>
              </font>
              <fill>
                <patternFill>
                  <bgColor theme="0"/>
                </patternFill>
              </fill>
            </x14:dxf>
          </x14:cfRule>
          <xm:sqref>E12:E13</xm:sqref>
        </x14:conditionalFormatting>
        <x14:conditionalFormatting xmlns:xm="http://schemas.microsoft.com/office/excel/2006/main">
          <x14:cfRule type="expression" priority="141" id="{9B976DD7-FFA8-454F-A63D-186A721FDF9C}">
            <xm:f>'Variable Mgmt'!$B$52</xm:f>
            <x14:dxf>
              <border>
                <bottom/>
                <vertical/>
                <horizontal/>
              </border>
            </x14:dxf>
          </x14:cfRule>
          <xm:sqref>A12:F13</xm:sqref>
        </x14:conditionalFormatting>
        <x14:conditionalFormatting xmlns:xm="http://schemas.microsoft.com/office/excel/2006/main">
          <x14:cfRule type="expression" priority="142" id="{25C53C6F-CE07-4419-8FCF-F6B8FCD8434A}">
            <xm:f>'Variable Mgmt'!$B$52</xm:f>
            <x14:dxf>
              <border>
                <right/>
                <vertical/>
                <horizontal/>
              </border>
            </x14:dxf>
          </x14:cfRule>
          <xm:sqref>F12:F13</xm:sqref>
        </x14:conditionalFormatting>
        <x14:conditionalFormatting xmlns:xm="http://schemas.microsoft.com/office/excel/2006/main">
          <x14:cfRule type="expression" priority="12" id="{56BB0655-3B2C-4E9D-AD05-7700A46C30F4}">
            <xm:f>'Variable Mgmt'!$B$52=FALSE</xm:f>
            <x14:dxf>
              <border>
                <bottom/>
                <vertical/>
                <horizontal/>
              </border>
            </x14:dxf>
          </x14:cfRule>
          <xm:sqref>A12:F12</xm:sqref>
        </x14:conditionalFormatting>
        <x14:conditionalFormatting xmlns:xm="http://schemas.microsoft.com/office/excel/2006/main">
          <x14:cfRule type="expression" priority="11" id="{7DE853EF-1754-4C48-A140-FF26B3EC5CF8}">
            <xm:f>'Variable Mgmt'!$B$52=FALSE</xm:f>
            <x14:dxf>
              <border>
                <bottom/>
                <vertical/>
                <horizontal/>
              </border>
            </x14:dxf>
          </x14:cfRule>
          <xm:sqref>A11:F11</xm:sqref>
        </x14:conditionalFormatting>
        <x14:conditionalFormatting xmlns:xm="http://schemas.microsoft.com/office/excel/2006/main">
          <x14:cfRule type="expression" priority="6" id="{18CE8F81-B526-43C7-B5F1-BAA9C73809CD}">
            <xm:f>'Variable Mgmt'!$B$52=TRUE</xm:f>
            <x14:dxf>
              <font>
                <color theme="0"/>
              </font>
              <fill>
                <patternFill>
                  <bgColor theme="0"/>
                </patternFill>
              </fill>
              <border>
                <right/>
                <top/>
                <bottom/>
              </border>
            </x14:dxf>
          </x14:cfRule>
          <xm:sqref>K20:M23</xm:sqref>
        </x14:conditionalFormatting>
        <x14:conditionalFormatting xmlns:xm="http://schemas.microsoft.com/office/excel/2006/main">
          <x14:cfRule type="expression" priority="5" id="{B42E45EE-F49B-4512-9DB9-8B85B95C6919}">
            <xm:f>'Variable Mgmt'!$B$52=TRUE</xm:f>
            <x14:dxf>
              <border>
                <left/>
                <right/>
                <top/>
                <bottom/>
                <vertical/>
                <horizontal/>
              </border>
            </x14:dxf>
          </x14:cfRule>
          <xm:sqref>H20:J23</xm:sqref>
        </x14:conditionalFormatting>
        <x14:conditionalFormatting xmlns:xm="http://schemas.microsoft.com/office/excel/2006/main">
          <x14:cfRule type="expression" priority="4" id="{8076779E-531E-4945-9FF1-9C72CDB0D6DC}">
            <xm:f>'Variable Mgmt'!$B$52=TRUE</xm:f>
            <x14:dxf>
              <border>
                <top/>
                <bottom/>
                <vertical/>
                <horizontal/>
              </border>
            </x14:dxf>
          </x14:cfRule>
          <xm:sqref>G21:G22</xm:sqref>
        </x14:conditionalFormatting>
        <x14:conditionalFormatting xmlns:xm="http://schemas.microsoft.com/office/excel/2006/main">
          <x14:cfRule type="expression" priority="145" id="{2E385B5D-C8C9-48C7-B4AE-E1A8F27EB6E6}">
            <xm:f>AND('Variable Mgmt'!#REF!&gt;'Variable Mgmt'!$B$56*1/1000, MODE=1)</xm:f>
            <x14:dxf>
              <font>
                <color rgb="FFFF0000"/>
              </font>
            </x14:dxf>
          </x14:cfRule>
          <xm:sqref>L7</xm:sqref>
        </x14:conditionalFormatting>
        <x14:conditionalFormatting xmlns:xm="http://schemas.microsoft.com/office/excel/2006/main">
          <x14:cfRule type="expression" priority="146" id="{EE277573-B7FD-4D2F-97C3-CC46EAD89E7B}">
            <xm:f>AND('Variable Mgmt'!#REF!&gt;'Variable Mgmt'!$B$56*1/1000, MODE=1)</xm:f>
            <x14:dxf>
              <font>
                <b/>
                <i val="0"/>
                <color rgb="FFFF0000"/>
              </font>
            </x14:dxf>
          </x14:cfRule>
          <xm:sqref>L12</xm:sqref>
        </x14:conditionalFormatting>
        <x14:conditionalFormatting xmlns:xm="http://schemas.microsoft.com/office/excel/2006/main">
          <x14:cfRule type="expression" priority="3" id="{DA50B535-B6B5-4DFB-9CBC-C505A48C7EB5}">
            <xm:f>'Variable Mgmt'!$B$52=TRUE</xm:f>
            <x14:dxf>
              <font>
                <color theme="0"/>
              </font>
              <fill>
                <patternFill>
                  <bgColor theme="0"/>
                </patternFill>
              </fill>
            </x14:dxf>
          </x14:cfRule>
          <xm:sqref>L10</xm:sqref>
        </x14:conditionalFormatting>
        <x14:conditionalFormatting xmlns:xm="http://schemas.microsoft.com/office/excel/2006/main">
          <x14:cfRule type="expression" priority="2" id="{FB76FAF3-E114-4E5D-9585-0FED8547CF75}">
            <xm:f>'Variable Mgmt'!$D$38=TRUE</xm:f>
            <x14:dxf>
              <font>
                <color theme="0"/>
              </font>
              <fill>
                <patternFill patternType="solid">
                  <fgColor auto="1"/>
                  <bgColor rgb="FFFF0000"/>
                </patternFill>
              </fill>
            </x14:dxf>
          </x14:cfRule>
          <xm:sqref>L15:M15</xm:sqref>
        </x14:conditionalFormatting>
        <x14:conditionalFormatting xmlns:xm="http://schemas.microsoft.com/office/excel/2006/main">
          <x14:cfRule type="expression" priority="1" id="{2E35C64D-1122-4B17-B495-E52D781938E1}">
            <xm:f>'Variable Mgmt'!$D$61=TRUE</xm:f>
            <x14:dxf>
              <font>
                <strike val="0"/>
                <color theme="0"/>
              </font>
              <fill>
                <patternFill>
                  <bgColor rgb="FFFF0000"/>
                </patternFill>
              </fill>
            </x14:dxf>
          </x14:cfRule>
          <xm:sqref>L14:M14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2:B7"/>
  <sheetViews>
    <sheetView topLeftCell="A7" zoomScaleNormal="100" workbookViewId="0">
      <selection activeCell="B12" sqref="B12"/>
    </sheetView>
  </sheetViews>
  <sheetFormatPr defaultRowHeight="12.75" x14ac:dyDescent="0.2"/>
  <cols>
    <col min="2" max="2" width="126.42578125" customWidth="1"/>
  </cols>
  <sheetData>
    <row r="2" spans="1:2" ht="17.25" customHeight="1" x14ac:dyDescent="0.2">
      <c r="A2" s="77" t="str">
        <f>CHOOSE(MODE, "Fsw_SINGLE", "Fsw_DUAL")</f>
        <v>Fsw_SINGLE</v>
      </c>
    </row>
    <row r="5" spans="1:2" ht="409.5" customHeight="1" x14ac:dyDescent="0.2">
      <c r="B5" s="365"/>
    </row>
    <row r="6" spans="1:2" ht="17.100000000000001" customHeight="1" x14ac:dyDescent="0.2"/>
    <row r="7" spans="1:2" ht="409.5" customHeight="1" x14ac:dyDescent="0.2">
      <c r="B7" s="365"/>
    </row>
  </sheetData>
  <phoneticPr fontId="82"/>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rgb="FF00B050"/>
  </sheetPr>
  <dimension ref="A2:T67"/>
  <sheetViews>
    <sheetView topLeftCell="C1" zoomScaleNormal="100" zoomScaleSheetLayoutView="145" workbookViewId="0">
      <selection activeCell="H21" sqref="H21"/>
    </sheetView>
  </sheetViews>
  <sheetFormatPr defaultRowHeight="12.75" x14ac:dyDescent="0.2"/>
  <cols>
    <col min="1" max="1" width="12.7109375" style="365" customWidth="1"/>
    <col min="2" max="2" width="124.7109375" style="11" customWidth="1"/>
    <col min="3" max="4" width="9.140625" style="365"/>
    <col min="5" max="5" width="124.7109375" style="7" customWidth="1"/>
    <col min="8" max="8" width="124.7109375" style="366" customWidth="1"/>
  </cols>
  <sheetData>
    <row r="2" spans="1:15" x14ac:dyDescent="0.2">
      <c r="A2" s="365" t="str">
        <f>'Variable Mgmt'!K44</f>
        <v>SCH_SINGLE_UVLOadj_SSint_TCno</v>
      </c>
    </row>
    <row r="5" spans="1:15" s="365" customFormat="1" ht="13.5" customHeight="1" x14ac:dyDescent="0.2">
      <c r="E5" s="366"/>
      <c r="H5" s="366"/>
    </row>
    <row r="6" spans="1:15" s="365" customFormat="1" ht="16.5" customHeight="1" x14ac:dyDescent="0.2">
      <c r="E6" s="366"/>
      <c r="H6" s="366"/>
    </row>
    <row r="7" spans="1:15" ht="357" customHeight="1" x14ac:dyDescent="0.2">
      <c r="B7" s="12"/>
      <c r="E7" s="393"/>
      <c r="F7" s="11"/>
      <c r="G7" s="11"/>
      <c r="I7" s="11"/>
      <c r="J7" s="11"/>
      <c r="K7" s="11"/>
      <c r="L7" s="11"/>
      <c r="M7" s="11"/>
      <c r="N7" s="11"/>
    </row>
    <row r="8" spans="1:15" s="365" customFormat="1" ht="17.25" customHeight="1" x14ac:dyDescent="0.2">
      <c r="B8" s="366"/>
      <c r="E8" s="366"/>
      <c r="H8" s="366"/>
      <c r="O8" s="367"/>
    </row>
    <row r="9" spans="1:15" ht="357" customHeight="1" x14ac:dyDescent="0.2">
      <c r="B9" s="112"/>
      <c r="D9" s="366"/>
      <c r="E9" s="393"/>
      <c r="F9" s="365"/>
      <c r="G9" s="11"/>
      <c r="I9" s="11"/>
      <c r="J9" s="11"/>
      <c r="K9" s="11"/>
      <c r="L9" s="11"/>
      <c r="M9" s="11"/>
      <c r="N9" s="11"/>
      <c r="O9" s="368"/>
    </row>
    <row r="10" spans="1:15" s="365" customFormat="1" x14ac:dyDescent="0.2">
      <c r="E10" s="366"/>
      <c r="H10" s="366"/>
    </row>
    <row r="11" spans="1:15" ht="357" customHeight="1" x14ac:dyDescent="0.2">
      <c r="B11" s="393"/>
      <c r="D11" s="366"/>
      <c r="E11" s="366"/>
      <c r="F11" s="365"/>
      <c r="G11" s="11"/>
      <c r="I11" s="11"/>
      <c r="J11" s="11"/>
      <c r="K11" s="11"/>
      <c r="L11" s="11"/>
      <c r="M11" s="11"/>
      <c r="N11" s="11"/>
      <c r="O11" s="368"/>
    </row>
    <row r="12" spans="1:15" x14ac:dyDescent="0.2">
      <c r="B12" s="365"/>
      <c r="E12" s="366"/>
      <c r="F12" s="365"/>
      <c r="G12" s="11"/>
      <c r="I12" s="11"/>
      <c r="J12" s="11"/>
      <c r="K12" s="11"/>
      <c r="L12" s="11"/>
      <c r="M12" s="11"/>
      <c r="N12" s="11"/>
    </row>
    <row r="13" spans="1:15" ht="357" customHeight="1" x14ac:dyDescent="0.2">
      <c r="B13" s="393"/>
      <c r="E13" s="366"/>
      <c r="F13" s="365"/>
      <c r="G13" s="11"/>
      <c r="I13" s="11"/>
      <c r="J13" s="11"/>
      <c r="K13" s="11"/>
      <c r="L13" s="11"/>
      <c r="M13" s="11"/>
      <c r="N13" s="11"/>
      <c r="O13" s="368"/>
    </row>
    <row r="14" spans="1:15" x14ac:dyDescent="0.2">
      <c r="B14" s="365"/>
      <c r="E14" s="366"/>
      <c r="F14" s="365"/>
      <c r="G14" s="11"/>
      <c r="I14" s="11"/>
      <c r="J14" s="11"/>
      <c r="K14" s="11"/>
      <c r="L14" s="11"/>
      <c r="M14" s="11"/>
      <c r="N14" s="11"/>
    </row>
    <row r="15" spans="1:15" ht="357" customHeight="1" x14ac:dyDescent="0.2">
      <c r="E15" s="366"/>
      <c r="F15" s="365"/>
      <c r="G15" s="11"/>
      <c r="I15" s="11"/>
      <c r="J15" s="11"/>
      <c r="K15" s="11"/>
      <c r="L15" s="11"/>
      <c r="M15" s="11"/>
      <c r="N15" s="11"/>
      <c r="O15" s="368"/>
    </row>
    <row r="16" spans="1:15" x14ac:dyDescent="0.2">
      <c r="B16" s="365"/>
      <c r="E16" s="366"/>
      <c r="F16" s="11"/>
      <c r="G16" s="11"/>
      <c r="I16" s="11"/>
      <c r="J16" s="11"/>
      <c r="K16" s="11"/>
      <c r="L16" s="11"/>
      <c r="M16" s="11"/>
      <c r="N16" s="11"/>
    </row>
    <row r="17" spans="2:15" ht="357" customHeight="1" x14ac:dyDescent="0.2">
      <c r="B17" s="393"/>
      <c r="E17" s="366"/>
      <c r="F17" s="365"/>
      <c r="G17" s="11"/>
      <c r="I17" s="11"/>
      <c r="J17" s="11"/>
      <c r="K17" s="11"/>
      <c r="L17" s="11"/>
      <c r="M17" s="11"/>
      <c r="N17" s="11"/>
      <c r="O17" s="368"/>
    </row>
    <row r="18" spans="2:15" ht="12" customHeight="1" x14ac:dyDescent="0.2">
      <c r="B18" s="365"/>
      <c r="E18" s="366"/>
      <c r="F18" s="11"/>
      <c r="G18" s="11"/>
      <c r="I18" s="11"/>
      <c r="J18" s="11"/>
      <c r="K18" s="11"/>
      <c r="L18" s="11"/>
      <c r="M18" s="11"/>
      <c r="N18" s="11"/>
    </row>
    <row r="19" spans="2:15" ht="357" customHeight="1" x14ac:dyDescent="0.2">
      <c r="B19" s="365"/>
      <c r="E19" s="366"/>
      <c r="F19" s="11"/>
      <c r="G19" s="11"/>
      <c r="I19" s="11"/>
      <c r="J19" s="11"/>
      <c r="K19" s="11"/>
      <c r="L19" s="11"/>
      <c r="M19" s="11"/>
      <c r="N19" s="11"/>
    </row>
    <row r="20" spans="2:15" ht="13.5" customHeight="1" x14ac:dyDescent="0.2">
      <c r="B20" s="365"/>
      <c r="E20" s="366"/>
      <c r="F20" s="11"/>
      <c r="G20" s="11"/>
      <c r="I20" s="11"/>
      <c r="J20" s="11"/>
      <c r="K20" s="11"/>
      <c r="L20" s="11"/>
      <c r="M20" s="11"/>
      <c r="N20" s="11"/>
    </row>
    <row r="21" spans="2:15" ht="357" customHeight="1" x14ac:dyDescent="0.2">
      <c r="B21" s="365"/>
      <c r="E21" s="366"/>
      <c r="F21" s="11"/>
      <c r="G21" s="11"/>
      <c r="I21" s="11"/>
      <c r="J21" s="11"/>
      <c r="K21" s="11"/>
      <c r="L21" s="11"/>
      <c r="M21" s="11"/>
      <c r="N21" s="11"/>
    </row>
    <row r="22" spans="2:15" x14ac:dyDescent="0.2">
      <c r="B22" s="365"/>
      <c r="E22" s="366"/>
      <c r="F22" s="11"/>
      <c r="G22" s="11"/>
      <c r="I22" s="11"/>
      <c r="J22" s="11"/>
      <c r="K22" s="11"/>
      <c r="L22" s="11"/>
      <c r="M22" s="11"/>
      <c r="N22" s="11"/>
    </row>
    <row r="23" spans="2:15" ht="357" customHeight="1" x14ac:dyDescent="0.2">
      <c r="B23" s="365"/>
      <c r="E23" s="366"/>
      <c r="F23" s="11"/>
      <c r="G23" s="11"/>
      <c r="I23" s="11"/>
      <c r="J23" s="11"/>
      <c r="K23" s="11"/>
      <c r="L23" s="11"/>
      <c r="M23" s="11"/>
      <c r="N23" s="11"/>
    </row>
    <row r="24" spans="2:15" x14ac:dyDescent="0.2">
      <c r="B24" s="365"/>
      <c r="E24" s="366"/>
      <c r="F24" s="11"/>
      <c r="G24" s="11"/>
      <c r="I24" s="11"/>
      <c r="J24" s="11"/>
      <c r="K24" s="11"/>
      <c r="L24" s="11"/>
      <c r="M24" s="11"/>
      <c r="N24" s="11"/>
    </row>
    <row r="25" spans="2:15" ht="327.75" customHeight="1" x14ac:dyDescent="0.2">
      <c r="B25" s="365"/>
      <c r="E25" s="366"/>
      <c r="F25" s="11"/>
      <c r="G25" s="11"/>
      <c r="I25" s="11"/>
      <c r="J25" s="11"/>
      <c r="K25" s="11"/>
      <c r="L25" s="11"/>
      <c r="M25" s="11"/>
      <c r="N25" s="11"/>
    </row>
    <row r="26" spans="2:15" x14ac:dyDescent="0.2">
      <c r="E26" s="366"/>
      <c r="F26" s="11"/>
      <c r="G26" s="11"/>
      <c r="I26" s="11"/>
      <c r="J26" s="11"/>
      <c r="K26" s="11"/>
      <c r="L26" s="11"/>
      <c r="M26" s="11"/>
      <c r="N26" s="11"/>
    </row>
    <row r="27" spans="2:15" ht="327.60000000000002" customHeight="1" x14ac:dyDescent="0.2">
      <c r="B27" s="365"/>
      <c r="E27" s="366"/>
      <c r="F27" s="11"/>
      <c r="G27" s="11"/>
      <c r="I27" s="11"/>
      <c r="J27" s="11"/>
      <c r="K27" s="11"/>
      <c r="L27" s="11"/>
      <c r="M27" s="11"/>
      <c r="N27" s="11"/>
    </row>
    <row r="28" spans="2:15" x14ac:dyDescent="0.2">
      <c r="B28" s="365"/>
      <c r="E28" s="366"/>
      <c r="F28" s="11"/>
      <c r="G28" s="11"/>
      <c r="I28" s="11"/>
      <c r="J28" s="11"/>
      <c r="K28" s="11"/>
      <c r="L28" s="11"/>
      <c r="M28" s="11"/>
      <c r="N28" s="11"/>
    </row>
    <row r="29" spans="2:15" ht="327.75" customHeight="1" x14ac:dyDescent="0.2">
      <c r="B29" s="365"/>
      <c r="E29" s="366"/>
      <c r="F29" s="11"/>
      <c r="G29" s="11"/>
      <c r="I29" s="11"/>
      <c r="J29" s="11"/>
      <c r="K29" s="11"/>
      <c r="L29" s="11"/>
      <c r="M29" s="11"/>
      <c r="N29" s="11"/>
    </row>
    <row r="30" spans="2:15" ht="13.5" customHeight="1" x14ac:dyDescent="0.2">
      <c r="B30" s="365"/>
      <c r="E30" s="366"/>
      <c r="F30" s="11"/>
      <c r="G30" s="11"/>
      <c r="I30" s="11"/>
      <c r="J30" s="11"/>
      <c r="K30" s="11"/>
      <c r="L30" s="11"/>
      <c r="M30" s="11"/>
      <c r="N30" s="11"/>
    </row>
    <row r="31" spans="2:15" ht="327.75" customHeight="1" x14ac:dyDescent="0.2">
      <c r="B31" s="365"/>
      <c r="E31" s="366"/>
      <c r="F31" s="11"/>
      <c r="G31" s="11"/>
      <c r="I31" s="11"/>
      <c r="J31" s="11"/>
      <c r="K31" s="11"/>
      <c r="L31" s="11"/>
      <c r="M31" s="11"/>
      <c r="N31" s="11"/>
    </row>
    <row r="32" spans="2:15" ht="13.5" customHeight="1" x14ac:dyDescent="0.2">
      <c r="B32" s="365"/>
      <c r="E32" s="366"/>
      <c r="F32" s="11"/>
      <c r="G32" s="11"/>
      <c r="I32" s="11"/>
      <c r="J32" s="11"/>
      <c r="K32" s="11"/>
      <c r="L32" s="11"/>
      <c r="M32" s="11"/>
      <c r="N32" s="11"/>
    </row>
    <row r="33" spans="2:20" ht="327.75" customHeight="1" x14ac:dyDescent="0.2">
      <c r="B33" s="365"/>
      <c r="E33" s="366"/>
      <c r="F33" s="11"/>
      <c r="G33" s="11"/>
      <c r="I33" s="11"/>
      <c r="J33" s="11"/>
      <c r="K33" s="11"/>
      <c r="L33" s="11"/>
      <c r="M33" s="11"/>
      <c r="N33" s="11"/>
    </row>
    <row r="34" spans="2:20" ht="13.5" customHeight="1" x14ac:dyDescent="0.2">
      <c r="B34" s="365"/>
      <c r="E34" s="366"/>
      <c r="F34" s="11"/>
      <c r="G34" s="11"/>
      <c r="I34" s="11"/>
      <c r="J34" s="11"/>
      <c r="K34" s="11"/>
      <c r="L34" s="11"/>
      <c r="M34" s="11"/>
      <c r="N34" s="11"/>
    </row>
    <row r="35" spans="2:20" ht="327.60000000000002" customHeight="1" x14ac:dyDescent="0.2">
      <c r="B35" s="365"/>
      <c r="E35" s="366"/>
      <c r="F35" s="11"/>
      <c r="G35" s="11"/>
      <c r="I35" s="11"/>
      <c r="J35" s="11"/>
      <c r="K35" s="11"/>
      <c r="L35" s="11"/>
      <c r="M35" s="11"/>
      <c r="N35" s="11"/>
    </row>
    <row r="36" spans="2:20" ht="13.5" customHeight="1" x14ac:dyDescent="0.2">
      <c r="B36" s="365"/>
      <c r="E36" s="366"/>
      <c r="F36" s="11"/>
      <c r="G36" s="11"/>
      <c r="I36" s="11"/>
      <c r="J36" s="11"/>
      <c r="K36" s="11"/>
      <c r="L36" s="11"/>
      <c r="M36" s="11"/>
      <c r="N36" s="11"/>
    </row>
    <row r="37" spans="2:20" ht="327.75" customHeight="1" x14ac:dyDescent="0.2">
      <c r="B37" s="365"/>
      <c r="E37" s="366"/>
      <c r="F37" s="11"/>
      <c r="G37" s="11"/>
      <c r="I37" s="11"/>
      <c r="J37" s="11"/>
      <c r="K37" s="11"/>
      <c r="L37" s="11"/>
      <c r="M37" s="11"/>
      <c r="N37" s="11"/>
    </row>
    <row r="38" spans="2:20" ht="13.5" customHeight="1" x14ac:dyDescent="0.35">
      <c r="B38" s="365"/>
      <c r="E38" s="366"/>
      <c r="F38" s="11"/>
      <c r="G38" s="369"/>
      <c r="I38" s="370"/>
      <c r="J38" s="11"/>
      <c r="K38" s="11"/>
      <c r="L38" s="11"/>
      <c r="M38" s="11"/>
      <c r="N38" s="11"/>
    </row>
    <row r="39" spans="2:20" ht="327.75" customHeight="1" x14ac:dyDescent="0.2">
      <c r="B39" s="365"/>
      <c r="E39" s="366"/>
      <c r="F39" s="11"/>
      <c r="G39" s="11"/>
      <c r="I39" s="370"/>
      <c r="J39" s="11"/>
      <c r="K39" s="11"/>
      <c r="L39" s="11"/>
      <c r="M39" s="11"/>
      <c r="N39" s="11"/>
    </row>
    <row r="40" spans="2:20" x14ac:dyDescent="0.2">
      <c r="B40" s="365"/>
      <c r="E40" s="366"/>
      <c r="F40" s="11"/>
      <c r="G40" s="11"/>
      <c r="I40" s="11"/>
      <c r="J40" s="11"/>
      <c r="K40" s="11"/>
      <c r="L40" s="11"/>
      <c r="M40" s="11"/>
      <c r="N40" s="11"/>
      <c r="O40" s="11"/>
      <c r="P40" s="11"/>
      <c r="Q40" s="13"/>
      <c r="S40" s="371"/>
      <c r="T40" s="371"/>
    </row>
    <row r="41" spans="2:20" ht="327.75" customHeight="1" x14ac:dyDescent="0.2">
      <c r="B41" s="365"/>
      <c r="E41" s="366"/>
      <c r="F41" s="11"/>
      <c r="G41" s="11"/>
      <c r="I41" s="11"/>
      <c r="J41" s="11"/>
      <c r="K41" s="11"/>
      <c r="L41" s="11"/>
      <c r="M41" s="11"/>
      <c r="N41" s="11"/>
      <c r="O41" s="11"/>
      <c r="P41" s="11"/>
      <c r="Q41" s="13"/>
      <c r="S41" s="371"/>
    </row>
    <row r="42" spans="2:20" x14ac:dyDescent="0.2">
      <c r="B42" s="365"/>
      <c r="E42" s="366"/>
      <c r="F42" s="11"/>
      <c r="G42" s="11"/>
      <c r="I42" s="11"/>
      <c r="J42" s="11"/>
      <c r="K42" s="11"/>
      <c r="L42" s="11"/>
      <c r="M42" s="11"/>
      <c r="N42" s="11"/>
      <c r="O42" s="11"/>
      <c r="P42" s="11"/>
      <c r="Q42" s="13"/>
      <c r="S42" s="371"/>
    </row>
    <row r="43" spans="2:20" ht="327.75" customHeight="1" x14ac:dyDescent="0.2">
      <c r="B43" s="365"/>
      <c r="E43" s="366"/>
      <c r="F43" s="11"/>
      <c r="G43" s="11"/>
      <c r="I43" s="11"/>
      <c r="J43" s="11"/>
      <c r="K43" s="11"/>
      <c r="L43" s="11"/>
      <c r="M43" s="11"/>
      <c r="N43" s="11"/>
      <c r="O43" s="11"/>
      <c r="P43" s="11"/>
      <c r="Q43" s="13"/>
      <c r="S43" s="371"/>
    </row>
    <row r="44" spans="2:20" x14ac:dyDescent="0.2">
      <c r="B44" s="365"/>
      <c r="E44" s="366"/>
      <c r="F44" s="11"/>
      <c r="G44" s="11"/>
      <c r="I44" s="11"/>
      <c r="J44" s="11"/>
      <c r="K44" s="11"/>
      <c r="L44" s="11"/>
      <c r="M44" s="11"/>
      <c r="N44" s="11"/>
      <c r="O44" s="11"/>
      <c r="P44" s="11"/>
      <c r="Q44" s="13"/>
      <c r="S44" s="371"/>
    </row>
    <row r="45" spans="2:20" ht="327.75" customHeight="1" x14ac:dyDescent="0.2">
      <c r="B45" s="365"/>
      <c r="E45" s="366"/>
      <c r="F45" s="11"/>
      <c r="G45" s="11"/>
      <c r="I45" s="11"/>
      <c r="J45" s="11"/>
      <c r="K45" s="11"/>
      <c r="L45" s="11"/>
      <c r="M45" s="11"/>
      <c r="N45" s="11"/>
      <c r="O45" s="11"/>
      <c r="P45" s="11"/>
      <c r="Q45" s="13"/>
      <c r="S45" s="371"/>
    </row>
    <row r="46" spans="2:20" x14ac:dyDescent="0.2">
      <c r="B46" s="365"/>
      <c r="E46" s="366"/>
      <c r="F46" s="11"/>
      <c r="G46" s="11"/>
      <c r="I46" s="11"/>
      <c r="J46" s="11"/>
      <c r="K46" s="11"/>
      <c r="L46" s="11"/>
      <c r="M46" s="11"/>
      <c r="N46" s="11"/>
      <c r="O46" s="11"/>
      <c r="P46" s="11"/>
      <c r="Q46" s="13"/>
      <c r="S46" s="371"/>
    </row>
    <row r="47" spans="2:20" ht="327.75" customHeight="1" x14ac:dyDescent="0.2">
      <c r="B47" s="365"/>
      <c r="E47" s="366"/>
      <c r="F47" s="11"/>
      <c r="G47" s="11"/>
      <c r="I47" s="11"/>
      <c r="J47" s="11"/>
      <c r="K47" s="11"/>
      <c r="L47" s="11"/>
      <c r="M47" s="11"/>
      <c r="N47" s="11"/>
      <c r="O47" s="11"/>
      <c r="P47" s="11"/>
      <c r="Q47" s="13"/>
      <c r="S47" s="372"/>
    </row>
    <row r="48" spans="2:20" x14ac:dyDescent="0.2">
      <c r="B48" s="365"/>
      <c r="E48" s="366"/>
      <c r="F48" s="11"/>
      <c r="G48" s="11"/>
      <c r="I48" s="11"/>
      <c r="J48" s="11"/>
      <c r="K48" s="11"/>
      <c r="L48" s="11"/>
      <c r="M48" s="11"/>
      <c r="N48" s="11"/>
      <c r="O48" s="11"/>
      <c r="P48" s="11"/>
      <c r="Q48" s="13"/>
      <c r="S48" s="371"/>
    </row>
    <row r="49" spans="2:19" ht="327.75" customHeight="1" x14ac:dyDescent="0.2">
      <c r="B49" s="365"/>
      <c r="E49" s="366"/>
      <c r="F49" s="11"/>
      <c r="G49" s="11"/>
      <c r="I49" s="11"/>
      <c r="J49" s="11"/>
      <c r="K49" s="11"/>
      <c r="L49" s="11"/>
      <c r="M49" s="11"/>
      <c r="N49" s="11"/>
      <c r="O49" s="11"/>
      <c r="P49" s="11"/>
      <c r="Q49" s="13"/>
      <c r="S49" s="371"/>
    </row>
    <row r="50" spans="2:19" x14ac:dyDescent="0.2">
      <c r="B50" s="365"/>
      <c r="E50" s="366"/>
      <c r="F50" s="11"/>
      <c r="G50" s="11"/>
      <c r="I50" s="11"/>
      <c r="J50" s="11"/>
      <c r="K50" s="11"/>
      <c r="L50" s="11"/>
      <c r="M50" s="11"/>
      <c r="N50" s="11"/>
      <c r="O50" s="11"/>
      <c r="P50" s="11"/>
      <c r="Q50" s="13"/>
      <c r="S50" s="371"/>
    </row>
    <row r="51" spans="2:19" x14ac:dyDescent="0.2">
      <c r="B51" s="365"/>
      <c r="E51" s="366"/>
      <c r="F51" s="11"/>
      <c r="G51" s="11"/>
      <c r="I51" s="11"/>
      <c r="J51" s="11"/>
      <c r="K51" s="11"/>
      <c r="L51" s="11"/>
      <c r="M51" s="11"/>
      <c r="N51" s="11"/>
      <c r="O51" s="11"/>
      <c r="P51" s="11"/>
      <c r="Q51" s="13"/>
      <c r="S51" s="371"/>
    </row>
    <row r="52" spans="2:19" x14ac:dyDescent="0.2">
      <c r="B52" s="365"/>
      <c r="E52" s="366"/>
      <c r="F52" s="11"/>
      <c r="G52" s="11"/>
      <c r="I52" s="11"/>
      <c r="J52" s="11"/>
      <c r="K52" s="11"/>
      <c r="L52" s="11"/>
      <c r="M52" s="11"/>
      <c r="N52" s="11"/>
      <c r="O52" s="11"/>
      <c r="P52" s="11"/>
      <c r="Q52" s="13"/>
      <c r="S52" s="371"/>
    </row>
    <row r="53" spans="2:19" x14ac:dyDescent="0.2">
      <c r="B53" s="365"/>
      <c r="E53" s="366"/>
      <c r="F53" s="11"/>
      <c r="G53" s="11"/>
      <c r="I53" s="11"/>
      <c r="J53" s="11"/>
      <c r="K53" s="11"/>
      <c r="L53" s="11"/>
      <c r="M53" s="11"/>
      <c r="N53" s="11"/>
    </row>
    <row r="54" spans="2:19" x14ac:dyDescent="0.2">
      <c r="B54" s="365"/>
      <c r="E54" s="366"/>
      <c r="F54" s="11"/>
      <c r="G54" s="11"/>
      <c r="I54" s="11"/>
      <c r="J54" s="11"/>
      <c r="K54" s="11"/>
      <c r="L54" s="11"/>
      <c r="M54" s="11"/>
      <c r="N54" s="11"/>
    </row>
    <row r="55" spans="2:19" x14ac:dyDescent="0.2">
      <c r="B55" s="365"/>
      <c r="E55" s="366"/>
      <c r="F55" s="11"/>
      <c r="G55" s="11"/>
      <c r="I55" s="11"/>
      <c r="J55" s="11"/>
      <c r="K55" s="11"/>
      <c r="L55" s="11"/>
      <c r="M55" s="11"/>
      <c r="N55" s="11"/>
      <c r="R55" s="14"/>
    </row>
    <row r="56" spans="2:19" x14ac:dyDescent="0.2">
      <c r="B56" s="365"/>
      <c r="E56" s="366"/>
      <c r="F56" s="11"/>
      <c r="G56" s="11"/>
      <c r="I56" s="11"/>
      <c r="J56" s="11"/>
      <c r="K56" s="11"/>
      <c r="L56" s="11"/>
      <c r="M56" s="11"/>
      <c r="N56" s="11"/>
    </row>
    <row r="57" spans="2:19" x14ac:dyDescent="0.2">
      <c r="B57" s="365"/>
      <c r="E57" s="366"/>
      <c r="F57" s="11"/>
      <c r="G57" s="11"/>
      <c r="I57" s="11"/>
      <c r="J57" s="11"/>
      <c r="K57" s="11"/>
      <c r="L57" s="11"/>
      <c r="M57" s="11"/>
      <c r="N57" s="11"/>
    </row>
    <row r="58" spans="2:19" x14ac:dyDescent="0.2">
      <c r="E58" s="12"/>
      <c r="F58" s="11"/>
      <c r="G58" s="11"/>
      <c r="I58" s="11"/>
      <c r="J58" s="11"/>
      <c r="K58" s="11"/>
      <c r="L58" s="11"/>
      <c r="M58" s="11"/>
      <c r="N58" s="11"/>
    </row>
    <row r="59" spans="2:19" x14ac:dyDescent="0.2">
      <c r="E59" s="12"/>
      <c r="F59" s="11"/>
      <c r="G59" s="11"/>
      <c r="I59" s="11"/>
      <c r="J59" s="11"/>
      <c r="K59" s="11"/>
      <c r="L59" s="11"/>
      <c r="M59" s="11"/>
      <c r="N59" s="11"/>
    </row>
    <row r="60" spans="2:19" x14ac:dyDescent="0.2">
      <c r="E60" s="12"/>
      <c r="F60" s="11"/>
      <c r="G60" s="11"/>
      <c r="I60" s="11"/>
      <c r="J60" s="11"/>
      <c r="K60" s="11"/>
      <c r="L60" s="11"/>
      <c r="M60" s="11"/>
      <c r="N60" s="11"/>
    </row>
    <row r="61" spans="2:19" x14ac:dyDescent="0.2">
      <c r="E61" s="12"/>
      <c r="F61" s="11"/>
      <c r="G61" s="11"/>
      <c r="I61" s="11"/>
      <c r="J61" s="11"/>
      <c r="K61" s="11"/>
      <c r="L61" s="11"/>
      <c r="M61" s="11"/>
      <c r="N61" s="11"/>
    </row>
    <row r="62" spans="2:19" x14ac:dyDescent="0.2">
      <c r="E62" s="12"/>
      <c r="F62" s="11"/>
      <c r="G62" s="11"/>
      <c r="I62" s="11"/>
      <c r="J62" s="11"/>
      <c r="K62" s="11"/>
      <c r="L62" s="11"/>
      <c r="M62" s="11"/>
      <c r="N62" s="11"/>
    </row>
    <row r="63" spans="2:19" x14ac:dyDescent="0.2">
      <c r="E63" s="12"/>
      <c r="F63" s="11"/>
      <c r="G63" s="11"/>
      <c r="I63" s="11"/>
      <c r="J63" s="11"/>
      <c r="K63" s="11"/>
      <c r="L63" s="11"/>
      <c r="M63" s="11"/>
      <c r="N63" s="11"/>
    </row>
    <row r="64" spans="2:19" x14ac:dyDescent="0.2">
      <c r="E64" s="12"/>
      <c r="F64" s="11"/>
      <c r="G64" s="11"/>
      <c r="I64" s="11"/>
      <c r="J64" s="11"/>
      <c r="K64" s="11"/>
      <c r="L64" s="11"/>
      <c r="M64" s="11"/>
      <c r="N64" s="11"/>
    </row>
    <row r="65" spans="5:18" x14ac:dyDescent="0.2">
      <c r="E65" s="12"/>
      <c r="F65" s="11"/>
      <c r="G65" s="11"/>
      <c r="I65" s="11"/>
      <c r="J65" s="11"/>
      <c r="K65" s="11"/>
      <c r="L65" s="11"/>
      <c r="M65" s="11"/>
      <c r="N65" s="11"/>
    </row>
    <row r="66" spans="5:18" x14ac:dyDescent="0.2">
      <c r="E66" s="12"/>
      <c r="F66" s="11"/>
      <c r="G66" s="11"/>
      <c r="I66" s="11"/>
      <c r="J66" s="11"/>
      <c r="K66" s="11"/>
      <c r="L66" s="11"/>
      <c r="M66" s="11"/>
      <c r="N66" s="11"/>
      <c r="R66" s="14"/>
    </row>
    <row r="67" spans="5:18" x14ac:dyDescent="0.2">
      <c r="E67" s="12"/>
      <c r="F67" s="11"/>
      <c r="G67" s="11"/>
      <c r="I67" s="11"/>
      <c r="J67" s="11"/>
      <c r="K67" s="11"/>
      <c r="L67" s="11"/>
      <c r="M67" s="11"/>
      <c r="N67" s="11"/>
    </row>
  </sheetData>
  <phoneticPr fontId="82"/>
  <conditionalFormatting sqref="O6">
    <cfRule type="cellIs" dxfId="0" priority="1" stopIfTrue="1" operator="equal">
      <formula>"n"</formula>
    </cfRule>
  </conditionalFormatting>
  <pageMargins left="0.75" right="0.75" top="1" bottom="1" header="0.5" footer="0.5"/>
  <pageSetup scale="8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2:K159"/>
  <sheetViews>
    <sheetView workbookViewId="0">
      <selection activeCell="I10" sqref="I10"/>
    </sheetView>
  </sheetViews>
  <sheetFormatPr defaultRowHeight="12.75" x14ac:dyDescent="0.2"/>
  <cols>
    <col min="1" max="1" width="17.28515625" customWidth="1"/>
    <col min="2" max="2" width="12" bestFit="1" customWidth="1"/>
    <col min="8" max="8" width="12.140625" customWidth="1"/>
    <col min="9" max="9" width="12.42578125" bestFit="1" customWidth="1"/>
    <col min="10" max="10" width="15.42578125" customWidth="1"/>
  </cols>
  <sheetData>
    <row r="2" spans="1:11" x14ac:dyDescent="0.2">
      <c r="A2" t="s">
        <v>68</v>
      </c>
      <c r="B2" t="s">
        <v>66</v>
      </c>
      <c r="C2" t="s">
        <v>14</v>
      </c>
      <c r="D2" t="s">
        <v>28</v>
      </c>
      <c r="E2" t="s">
        <v>75</v>
      </c>
    </row>
    <row r="3" spans="1:11" x14ac:dyDescent="0.2">
      <c r="A3" t="s">
        <v>71</v>
      </c>
      <c r="B3">
        <f>Css</f>
        <v>4.0000000000000001E-8</v>
      </c>
      <c r="C3">
        <f>Cout</f>
        <v>100</v>
      </c>
      <c r="D3">
        <f>Cin</f>
        <v>22</v>
      </c>
      <c r="E3">
        <f>Cb</f>
        <v>0</v>
      </c>
      <c r="H3" t="s">
        <v>73</v>
      </c>
      <c r="I3" t="s">
        <v>74</v>
      </c>
      <c r="J3" s="3" t="s">
        <v>70</v>
      </c>
    </row>
    <row r="4" spans="1:11" x14ac:dyDescent="0.2">
      <c r="A4" s="6" t="s">
        <v>70</v>
      </c>
      <c r="B4" s="6">
        <f>SUM(B6:B158)/1000000000000</f>
        <v>3.8999999999999998E-8</v>
      </c>
      <c r="C4" s="6">
        <f>SUM(C6:C158)/1000000000000</f>
        <v>0</v>
      </c>
      <c r="D4" s="6">
        <f>SUM(D6:D158)/1000000000000</f>
        <v>0</v>
      </c>
      <c r="E4" s="6">
        <f t="shared" ref="E4" si="0">IF(E3="OPEN","OPEN",SUM(E6:E158)/1000000000000)</f>
        <v>0</v>
      </c>
      <c r="H4" s="77" t="s">
        <v>139</v>
      </c>
      <c r="I4" t="e">
        <f>Rt</f>
        <v>#NAME?</v>
      </c>
      <c r="J4" s="3" t="e">
        <f t="shared" ref="J4:J9" si="1">IF(I4&gt;(INT(0.5+100*POWER(10,IF(96*(LOG(I4)-INT(LOG(I4)))-ROUND(96*(LOG(I4)-INT(LOG(I4))),0)&lt;0,ROUND(96*(LOG(I4)-INT(LOG(I4))),0)-1,ROUND(96*(LOG(I4)-INT(LOG(I4))),0))/96))*POWER(10,INT(LOG(I4))-2)+INT(0.5+100*POWER(10,(IF(96*(LOG(I4)-INT(LOG(I4)))-ROUND(96*(LOG(I4)-INT(LOG(I4))),0)&lt;0,ROUND(96*(LOG(I4)-INT(LOG(I4))),0)-1,ROUND(96*(LOG(I4)-INT(LOG(I4))),0))+1)/96))*POWER(10,INT(LOG(I4))-2))/2,INT(0.5+100*POWER(10,(IF(96*(LOG(I4)-INT(LOG(I4)))-ROUND(96*(LOG(I4)-INT(LOG(I4))),0)&lt;0,ROUND(96*(LOG(I4)-INT(LOG(I4))),0)-1,ROUND(96*(LOG(I4)-INT(LOG(I4))),0))+1)/96))*POWER(10,INT(LOG(I4))-2),INT(0.5+100*POWER(10,IF(96*(LOG(I4)-INT(LOG(I4)))-ROUND(96*(LOG(I4)-INT(LOG(I4))),0)&lt;0,ROUND(96*(LOG(I4)-INT(LOG(I4))),0)-1,ROUND(96*(LOG(I4)-INT(LOG(I4))),0))/96))*POWER(10,INT(LOG(I4))-2))</f>
        <v>#NAME?</v>
      </c>
      <c r="K4" s="17" t="s">
        <v>136</v>
      </c>
    </row>
    <row r="5" spans="1:11" x14ac:dyDescent="0.2">
      <c r="A5" t="s">
        <v>69</v>
      </c>
      <c r="J5" s="3"/>
      <c r="K5" s="17"/>
    </row>
    <row r="6" spans="1:11" x14ac:dyDescent="0.2">
      <c r="A6">
        <v>0.47</v>
      </c>
      <c r="B6">
        <f t="shared" ref="B6:E6" si="2">IF(IF((B$3*10^12-$A7)*(B$3*10^12-$A6)*-1&lt;0,0,1)*IF(ABS(B$3*10^12-$A7)&gt;(B$3*10^12-$A6),$A6,$A7)=B7,0,IF((B$3*10^12-$A7)*(B$3*10^12-$A6)*-1&lt;0,0,1)*IF(ABS(B$3*10^12-$A7)&gt;(B$3*10^12-$A6),$A6,$A7))</f>
        <v>0</v>
      </c>
      <c r="C6">
        <f t="shared" si="2"/>
        <v>0</v>
      </c>
      <c r="D6">
        <f t="shared" si="2"/>
        <v>0</v>
      </c>
      <c r="E6">
        <f t="shared" si="2"/>
        <v>0</v>
      </c>
      <c r="H6" s="77" t="s">
        <v>163</v>
      </c>
      <c r="I6" t="e">
        <f>Rshunt</f>
        <v>#NAME?</v>
      </c>
      <c r="J6" s="3" t="e">
        <f t="shared" si="1"/>
        <v>#NAME?</v>
      </c>
      <c r="K6" s="17" t="s">
        <v>136</v>
      </c>
    </row>
    <row r="7" spans="1:11" x14ac:dyDescent="0.2">
      <c r="A7">
        <v>0.56000000000000005</v>
      </c>
      <c r="B7">
        <f t="shared" ref="B7:B70" si="3">IF(IF((B$3*10^12-$A8)*(B$3*10^12-$A7)*-1&lt;0,0,1)*IF(ABS(B$3*10^12-$A8)&gt;(B$3*10^12-$A7),$A7,$A8)=B8,0,IF((B$3*10^12-$A8)*(B$3*10^12-$A7)*-1&lt;0,0,1)*IF(ABS(B$3*10^12-$A8)&gt;(B$3*10^12-$A7),$A7,$A8))</f>
        <v>0</v>
      </c>
      <c r="C7">
        <f t="shared" ref="C7:C69" si="4">IF(IF((C$3*10^12-$A8)*(C$3*10^12-$A7)*-1&lt;0,0,1)*IF(ABS(C$3*10^12-$A8)&gt;(C$3*10^12-$A7),$A7,$A8)=C8,0,IF((C$3*10^12-$A8)*(C$3*10^12-$A7)*-1&lt;0,0,1)*IF(ABS(C$3*10^12-$A8)&gt;(C$3*10^12-$A7),$A7,$A8))</f>
        <v>0</v>
      </c>
      <c r="D7">
        <f t="shared" ref="D7:D69" si="5">IF(IF((D$3*10^12-$A8)*(D$3*10^12-$A7)*-1&lt;0,0,1)*IF(ABS(D$3*10^12-$A8)&gt;(D$3*10^12-$A7),$A7,$A8)=D8,0,IF((D$3*10^12-$A8)*(D$3*10^12-$A7)*-1&lt;0,0,1)*IF(ABS(D$3*10^12-$A8)&gt;(D$3*10^12-$A7),$A7,$A8))</f>
        <v>0</v>
      </c>
      <c r="E7">
        <f t="shared" ref="E7:E37" si="6">IF(IF((E$3*10^12-$A8)*(E$3*10^12-$A7)*-1&lt;0,0,1)*IF(ABS(E$3*10^12-$A8)&gt;(E$3*10^12-$A7),$A7,$A8)=E8,0,IF((E$3*10^12-$A8)*(E$3*10^12-$A7)*-1&lt;0,0,1)*IF(ABS(E$3*10^12-$A8)&gt;(E$3*10^12-$A7),$A7,$A8))</f>
        <v>0</v>
      </c>
      <c r="H7" t="s">
        <v>79</v>
      </c>
      <c r="I7" t="e">
        <f>Rcea1</f>
        <v>#NAME?</v>
      </c>
      <c r="J7" s="3" t="e">
        <f t="shared" si="1"/>
        <v>#NAME?</v>
      </c>
      <c r="K7" s="17" t="s">
        <v>136</v>
      </c>
    </row>
    <row r="8" spans="1:11" x14ac:dyDescent="0.2">
      <c r="A8">
        <v>0.68</v>
      </c>
      <c r="B8">
        <f t="shared" si="3"/>
        <v>0</v>
      </c>
      <c r="C8">
        <f t="shared" si="4"/>
        <v>0</v>
      </c>
      <c r="D8">
        <f t="shared" si="5"/>
        <v>0</v>
      </c>
      <c r="E8">
        <f t="shared" si="6"/>
        <v>0</v>
      </c>
      <c r="J8" s="3"/>
      <c r="K8" s="17"/>
    </row>
    <row r="9" spans="1:11" x14ac:dyDescent="0.2">
      <c r="A9">
        <v>0.82</v>
      </c>
      <c r="B9">
        <f t="shared" si="3"/>
        <v>0</v>
      </c>
      <c r="C9">
        <f t="shared" si="4"/>
        <v>0</v>
      </c>
      <c r="D9">
        <f t="shared" si="5"/>
        <v>0</v>
      </c>
      <c r="E9">
        <f t="shared" si="6"/>
        <v>0</v>
      </c>
      <c r="H9" t="s">
        <v>387</v>
      </c>
      <c r="I9">
        <f>RTC_1</f>
        <v>307500</v>
      </c>
      <c r="J9" s="3">
        <f t="shared" si="1"/>
        <v>309000</v>
      </c>
      <c r="K9" s="17" t="s">
        <v>136</v>
      </c>
    </row>
    <row r="10" spans="1:11" x14ac:dyDescent="0.2">
      <c r="A10">
        <v>1</v>
      </c>
      <c r="B10">
        <f t="shared" si="3"/>
        <v>0</v>
      </c>
      <c r="C10">
        <f t="shared" si="4"/>
        <v>0</v>
      </c>
      <c r="D10">
        <f t="shared" si="5"/>
        <v>0</v>
      </c>
      <c r="E10">
        <f t="shared" si="6"/>
        <v>0</v>
      </c>
      <c r="H10" t="s">
        <v>17</v>
      </c>
      <c r="I10">
        <f>Rfb</f>
        <v>246000</v>
      </c>
      <c r="J10" s="3">
        <f>IF(I10="OPEN","OPEN",IF(I10&gt;(INT(0.5+100*POWER(10,IF(96*(LOG(I10)-INT(LOG(I10)))-ROUND(96*(LOG(I10)-INT(LOG(I10))),0)&lt;0,ROUND(96*(LOG(I10)-INT(LOG(I10))),0)-1,ROUND(96*(LOG(I10)-INT(LOG(I10))),0))/96))*POWER(10,INT(LOG(I10))-2)+INT(0.5+100*POWER(10,(IF(96*(LOG(I10)-INT(LOG(I10)))-ROUND(96*(LOG(I10)-INT(LOG(I10))),0)&lt;0,ROUND(96*(LOG(I10)-INT(LOG(I10))),0)-1,ROUND(96*(LOG(I10)-INT(LOG(I10))),0))+1)/96))*POWER(10,INT(LOG(I10))-2))/2,INT(0.5+100*POWER(10,(IF(96*(LOG(I10)-INT(LOG(I10)))-ROUND(96*(LOG(I10)-INT(LOG(I10))),0)&lt;0,ROUND(96*(LOG(I10)-INT(LOG(I10))),0)-1,ROUND(96*(LOG(I10)-INT(LOG(I10))),0))+1)/96))*POWER(10,INT(LOG(I10))-2),INT(0.5+100*POWER(10,IF(96*(LOG(I10)-INT(LOG(I10)))-ROUND(96*(LOG(I10)-INT(LOG(I10))),0)&lt;0,ROUND(96*(LOG(I10)-INT(LOG(I10))),0)-1,ROUND(96*(LOG(I10)-INT(LOG(I10))),0))/96))*POWER(10,INT(LOG(I10))-2)))</f>
        <v>243000</v>
      </c>
      <c r="K10" s="17" t="s">
        <v>136</v>
      </c>
    </row>
    <row r="11" spans="1:11" x14ac:dyDescent="0.2">
      <c r="A11">
        <v>1.2</v>
      </c>
      <c r="B11">
        <f t="shared" si="3"/>
        <v>0</v>
      </c>
      <c r="C11">
        <f t="shared" si="4"/>
        <v>0</v>
      </c>
      <c r="D11">
        <f t="shared" si="5"/>
        <v>0</v>
      </c>
      <c r="E11">
        <f t="shared" si="6"/>
        <v>0</v>
      </c>
      <c r="J11" s="3"/>
    </row>
    <row r="12" spans="1:11" x14ac:dyDescent="0.2">
      <c r="A12">
        <v>1.5</v>
      </c>
      <c r="B12">
        <f t="shared" si="3"/>
        <v>0</v>
      </c>
      <c r="C12">
        <f t="shared" si="4"/>
        <v>0</v>
      </c>
      <c r="D12">
        <f t="shared" si="5"/>
        <v>0</v>
      </c>
      <c r="E12">
        <f t="shared" si="6"/>
        <v>0</v>
      </c>
      <c r="J12" s="3"/>
    </row>
    <row r="13" spans="1:11" x14ac:dyDescent="0.2">
      <c r="A13">
        <v>1.8</v>
      </c>
      <c r="B13">
        <f t="shared" si="3"/>
        <v>0</v>
      </c>
      <c r="C13">
        <f t="shared" si="4"/>
        <v>0</v>
      </c>
      <c r="D13">
        <f t="shared" si="5"/>
        <v>0</v>
      </c>
      <c r="E13">
        <f t="shared" si="6"/>
        <v>0</v>
      </c>
      <c r="H13" s="77" t="s">
        <v>76</v>
      </c>
      <c r="I13" t="e">
        <f>Rs_ideal*1000</f>
        <v>#NAME?</v>
      </c>
      <c r="J13" s="3" t="e">
        <f>IF(I13=0,0,IF(I13&gt;(INT(0.5+100*POWER(10,IF(96*(LOG(I13)-INT(LOG(I13)))-ROUND(96*(LOG(I13)-INT(LOG(I13))),0)&lt;0,ROUND(96*(LOG(I13)-INT(LOG(I13))),0)-1,ROUND(96*(LOG(I13)-INT(LOG(I13))),0))/96))*POWER(10,INT(LOG(I13))-2)+INT(0.5+100*POWER(10,(IF(96*(LOG(I13)-INT(LOG(I13)))-ROUND(96*(LOG(I13)-INT(LOG(I13))),0)&lt;0,ROUND(96*(LOG(I13)-INT(LOG(I13))),0)-1,ROUND(96*(LOG(I13)-INT(LOG(I13))),0))+1)/96))*POWER(10,INT(LOG(I13))-2))/2,INT(0.5+100*POWER(10,(IF(96*(LOG(I13)-INT(LOG(I13)))-ROUND(96*(LOG(I13)-INT(LOG(I13))),0)&lt;0,ROUND(96*(LOG(I13)-INT(LOG(I13))),0)-1,ROUND(96*(LOG(I13)-INT(LOG(I13))),0))+1)/96))*POWER(10,INT(LOG(I13))-2),INT(0.5+100*POWER(10,IF(96*(LOG(I13)-INT(LOG(I13)))-ROUND(96*(LOG(I13)-INT(LOG(I13))),0)&lt;0,ROUND(96*(LOG(I13)-INT(LOG(I13))),0)-1,ROUND(96*(LOG(I13)-INT(LOG(I13))),0))/96))*POWER(10,INT(LOG(I13))-2)))</f>
        <v>#NAME?</v>
      </c>
      <c r="K13" s="17" t="s">
        <v>162</v>
      </c>
    </row>
    <row r="14" spans="1:11" x14ac:dyDescent="0.2">
      <c r="A14">
        <v>2.2000000000000002</v>
      </c>
      <c r="B14">
        <f t="shared" ref="B14:E14" si="7">IF(IF((B$3*10^12-$A15)*(B$3*10^12-$A14)*-1&lt;0,0,1)*IF(ABS(B$3*10^12-$A15)&gt;(B$3*10^12-$A14),$A14,$A15)=B15,0,IF((B$3*10^12-$A15)*(B$3*10^12-$A14)*-1&lt;0,0,1)*IF(ABS(B$3*10^12-$A15)&gt;(B$3*10^12-$A14),$A14,$A15))</f>
        <v>0</v>
      </c>
      <c r="C14">
        <f t="shared" si="7"/>
        <v>0</v>
      </c>
      <c r="D14">
        <f t="shared" si="7"/>
        <v>0</v>
      </c>
      <c r="E14">
        <f t="shared" si="7"/>
        <v>0</v>
      </c>
      <c r="H14" s="77" t="s">
        <v>161</v>
      </c>
      <c r="I14" t="e">
        <f>Cslope_ideal</f>
        <v>#NAME?</v>
      </c>
      <c r="J14" t="e">
        <f>#REF!*1000000000000</f>
        <v>#REF!</v>
      </c>
      <c r="K14" s="77" t="s">
        <v>15</v>
      </c>
    </row>
    <row r="15" spans="1:11" x14ac:dyDescent="0.2">
      <c r="A15">
        <v>2.7</v>
      </c>
      <c r="B15">
        <f t="shared" si="3"/>
        <v>0</v>
      </c>
      <c r="C15">
        <f t="shared" si="4"/>
        <v>0</v>
      </c>
      <c r="D15">
        <f t="shared" si="5"/>
        <v>0</v>
      </c>
      <c r="E15">
        <f t="shared" si="6"/>
        <v>0</v>
      </c>
    </row>
    <row r="16" spans="1:11" x14ac:dyDescent="0.2">
      <c r="A16">
        <v>3.3</v>
      </c>
      <c r="B16">
        <f t="shared" si="3"/>
        <v>0</v>
      </c>
      <c r="C16">
        <f t="shared" si="4"/>
        <v>0</v>
      </c>
      <c r="D16">
        <f t="shared" si="5"/>
        <v>0</v>
      </c>
      <c r="E16">
        <f t="shared" si="6"/>
        <v>0</v>
      </c>
      <c r="H16" s="77" t="s">
        <v>130</v>
      </c>
      <c r="I16">
        <f>Ruvlo1</f>
        <v>169.99999999999991</v>
      </c>
      <c r="J16" s="3">
        <f>IF(I16="OPEN","OPEN",IF(I16&gt;(INT(0.5+100*POWER(10,IF(96*(LOG(I16)-INT(LOG(I16)))-ROUND(96*(LOG(I16)-INT(LOG(I16))),0)&lt;0,ROUND(96*(LOG(I16)-INT(LOG(I16))),0)-1,ROUND(96*(LOG(I16)-INT(LOG(I16))),0))/96))*POWER(10,INT(LOG(I16))-2)+INT(0.5+100*POWER(10,(IF(96*(LOG(I16)-INT(LOG(I16)))-ROUND(96*(LOG(I16)-INT(LOG(I16))),0)&lt;0,ROUND(96*(LOG(I16)-INT(LOG(I16))),0)-1,ROUND(96*(LOG(I16)-INT(LOG(I16))),0))+1)/96))*POWER(10,INT(LOG(I16))-2))/2,INT(0.5+100*POWER(10,(IF(96*(LOG(I16)-INT(LOG(I16)))-ROUND(96*(LOG(I16)-INT(LOG(I16))),0)&lt;0,ROUND(96*(LOG(I16)-INT(LOG(I16))),0)-1,ROUND(96*(LOG(I16)-INT(LOG(I16))),0))+1)/96))*POWER(10,INT(LOG(I16))-2),INT(0.5+100*POWER(10,IF(96*(LOG(I16)-INT(LOG(I16)))-ROUND(96*(LOG(I16)-INT(LOG(I16))),0)&lt;0,ROUND(96*(LOG(I16)-INT(LOG(I16))),0)-1,ROUND(96*(LOG(I16)-INT(LOG(I16))),0))/96))*POWER(10,INT(LOG(I16))-2)))</f>
        <v>169</v>
      </c>
      <c r="K16" s="17" t="s">
        <v>113</v>
      </c>
    </row>
    <row r="17" spans="1:11" x14ac:dyDescent="0.2">
      <c r="A17">
        <v>3.9</v>
      </c>
      <c r="B17">
        <f t="shared" si="3"/>
        <v>0</v>
      </c>
      <c r="C17">
        <f t="shared" si="4"/>
        <v>0</v>
      </c>
      <c r="D17">
        <f t="shared" si="5"/>
        <v>0</v>
      </c>
      <c r="E17">
        <f t="shared" si="6"/>
        <v>0</v>
      </c>
      <c r="H17" s="77" t="s">
        <v>131</v>
      </c>
      <c r="I17" s="178">
        <f>Ruvlo2</f>
        <v>84.5</v>
      </c>
      <c r="J17" s="3">
        <f>IF(I17="OPEN","OPEN",IF(I17&gt;(INT(0.5+100*POWER(10,IF(96*(LOG(I17)-INT(LOG(I17)))-ROUND(96*(LOG(I17)-INT(LOG(I17))),0)&lt;0,ROUND(96*(LOG(I17)-INT(LOG(I17))),0)-1,ROUND(96*(LOG(I17)-INT(LOG(I17))),0))/96))*POWER(10,INT(LOG(I17))-2)+INT(0.5+100*POWER(10,(IF(96*(LOG(I17)-INT(LOG(I17)))-ROUND(96*(LOG(I17)-INT(LOG(I17))),0)&lt;0,ROUND(96*(LOG(I17)-INT(LOG(I17))),0)-1,ROUND(96*(LOG(I17)-INT(LOG(I17))),0))+1)/96))*POWER(10,INT(LOG(I17))-2))/2,INT(0.5+100*POWER(10,(IF(96*(LOG(I17)-INT(LOG(I17)))-ROUND(96*(LOG(I17)-INT(LOG(I17))),0)&lt;0,ROUND(96*(LOG(I17)-INT(LOG(I17))),0)-1,ROUND(96*(LOG(I17)-INT(LOG(I17))),0))+1)/96))*POWER(10,INT(LOG(I17))-2),INT(0.5+100*POWER(10,IF(96*(LOG(I17)-INT(LOG(I17)))-ROUND(96*(LOG(I17)-INT(LOG(I17))),0)&lt;0,ROUND(96*(LOG(I17)-INT(LOG(I17))),0)-1,ROUND(96*(LOG(I17)-INT(LOG(I17))),0))/96))*POWER(10,INT(LOG(I17))-2)))</f>
        <v>84.5</v>
      </c>
      <c r="K17" s="17" t="s">
        <v>113</v>
      </c>
    </row>
    <row r="18" spans="1:11" x14ac:dyDescent="0.2">
      <c r="A18">
        <v>4.7</v>
      </c>
      <c r="B18">
        <f t="shared" si="3"/>
        <v>0</v>
      </c>
      <c r="C18">
        <f t="shared" si="4"/>
        <v>0</v>
      </c>
      <c r="D18">
        <f t="shared" si="5"/>
        <v>0</v>
      </c>
      <c r="E18">
        <f t="shared" si="6"/>
        <v>0</v>
      </c>
      <c r="H18" s="77" t="s">
        <v>297</v>
      </c>
      <c r="I18" s="178" t="e">
        <f>Rhys</f>
        <v>#NAME?</v>
      </c>
      <c r="J18" s="3" t="e">
        <f>IF(I18="OPEN","OPEN",IF(I18&gt;(INT(0.5+100*POWER(10,IF(96*(LOG(I18)-INT(LOG(I18)))-ROUND(96*(LOG(I18)-INT(LOG(I18))),0)&lt;0,ROUND(96*(LOG(I18)-INT(LOG(I18))),0)-1,ROUND(96*(LOG(I18)-INT(LOG(I18))),0))/96))*POWER(10,INT(LOG(I18))-2)+INT(0.5+100*POWER(10,(IF(96*(LOG(I18)-INT(LOG(I18)))-ROUND(96*(LOG(I18)-INT(LOG(I18))),0)&lt;0,ROUND(96*(LOG(I18)-INT(LOG(I18))),0)-1,ROUND(96*(LOG(I18)-INT(LOG(I18))),0))+1)/96))*POWER(10,INT(LOG(I18))-2))/2,INT(0.5+100*POWER(10,(IF(96*(LOG(I18)-INT(LOG(I18)))-ROUND(96*(LOG(I18)-INT(LOG(I18))),0)&lt;0,ROUND(96*(LOG(I18)-INT(LOG(I18))),0)-1,ROUND(96*(LOG(I18)-INT(LOG(I18))),0))+1)/96))*POWER(10,INT(LOG(I18))-2),INT(0.5+100*POWER(10,IF(96*(LOG(I18)-INT(LOG(I18)))-ROUND(96*(LOG(I18)-INT(LOG(I18))),0)&lt;0,ROUND(96*(LOG(I18)-INT(LOG(I18))),0)-1,ROUND(96*(LOG(I18)-INT(LOG(I18))),0))/96))*POWER(10,INT(LOG(I18))-2)))</f>
        <v>#NAME?</v>
      </c>
      <c r="K18" s="17" t="s">
        <v>113</v>
      </c>
    </row>
    <row r="19" spans="1:11" x14ac:dyDescent="0.2">
      <c r="A19">
        <v>5.6</v>
      </c>
      <c r="B19">
        <f t="shared" si="3"/>
        <v>0</v>
      </c>
      <c r="C19">
        <f t="shared" si="4"/>
        <v>0</v>
      </c>
      <c r="D19">
        <f t="shared" si="5"/>
        <v>0</v>
      </c>
      <c r="E19">
        <f t="shared" si="6"/>
        <v>0</v>
      </c>
    </row>
    <row r="20" spans="1:11" x14ac:dyDescent="0.2">
      <c r="A20">
        <v>6.8</v>
      </c>
      <c r="B20">
        <f t="shared" si="3"/>
        <v>0</v>
      </c>
      <c r="C20">
        <f t="shared" si="4"/>
        <v>0</v>
      </c>
      <c r="D20">
        <f t="shared" si="5"/>
        <v>0</v>
      </c>
      <c r="E20">
        <f t="shared" si="6"/>
        <v>0</v>
      </c>
      <c r="H20" s="77"/>
      <c r="J20" s="3"/>
    </row>
    <row r="21" spans="1:11" x14ac:dyDescent="0.2">
      <c r="A21">
        <v>8.1999999999999993</v>
      </c>
      <c r="B21">
        <f t="shared" si="3"/>
        <v>0</v>
      </c>
      <c r="C21">
        <f t="shared" si="4"/>
        <v>0</v>
      </c>
      <c r="D21">
        <f t="shared" si="5"/>
        <v>0</v>
      </c>
      <c r="E21">
        <f t="shared" si="6"/>
        <v>0</v>
      </c>
      <c r="J21" s="3"/>
    </row>
    <row r="22" spans="1:11" x14ac:dyDescent="0.2">
      <c r="A22">
        <v>10</v>
      </c>
      <c r="B22">
        <f t="shared" si="3"/>
        <v>0</v>
      </c>
      <c r="C22">
        <f t="shared" si="4"/>
        <v>0</v>
      </c>
      <c r="D22">
        <f t="shared" si="5"/>
        <v>0</v>
      </c>
      <c r="E22">
        <f t="shared" si="6"/>
        <v>0</v>
      </c>
      <c r="H22" s="77"/>
      <c r="J22" s="3"/>
      <c r="K22" s="17"/>
    </row>
    <row r="23" spans="1:11" x14ac:dyDescent="0.2">
      <c r="A23">
        <v>12</v>
      </c>
      <c r="B23">
        <f t="shared" si="3"/>
        <v>0</v>
      </c>
      <c r="C23">
        <f t="shared" si="4"/>
        <v>0</v>
      </c>
      <c r="D23">
        <f t="shared" si="5"/>
        <v>0</v>
      </c>
      <c r="E23">
        <f t="shared" si="6"/>
        <v>0</v>
      </c>
    </row>
    <row r="24" spans="1:11" x14ac:dyDescent="0.2">
      <c r="A24">
        <v>15</v>
      </c>
      <c r="B24">
        <f t="shared" si="3"/>
        <v>0</v>
      </c>
      <c r="C24">
        <f t="shared" si="4"/>
        <v>0</v>
      </c>
      <c r="D24">
        <f t="shared" si="5"/>
        <v>0</v>
      </c>
      <c r="E24">
        <f t="shared" si="6"/>
        <v>0</v>
      </c>
      <c r="J24" s="3"/>
    </row>
    <row r="25" spans="1:11" x14ac:dyDescent="0.2">
      <c r="A25">
        <v>18</v>
      </c>
      <c r="B25">
        <f t="shared" si="3"/>
        <v>0</v>
      </c>
      <c r="C25">
        <f t="shared" si="4"/>
        <v>0</v>
      </c>
      <c r="D25">
        <f t="shared" si="5"/>
        <v>0</v>
      </c>
      <c r="E25">
        <f t="shared" si="6"/>
        <v>0</v>
      </c>
      <c r="H25" s="77"/>
      <c r="J25" s="3"/>
      <c r="K25" s="17"/>
    </row>
    <row r="26" spans="1:11" x14ac:dyDescent="0.2">
      <c r="A26">
        <v>22</v>
      </c>
      <c r="B26">
        <f t="shared" si="3"/>
        <v>0</v>
      </c>
      <c r="C26">
        <f t="shared" si="4"/>
        <v>0</v>
      </c>
      <c r="D26">
        <f t="shared" si="5"/>
        <v>0</v>
      </c>
      <c r="E26">
        <f t="shared" si="6"/>
        <v>0</v>
      </c>
    </row>
    <row r="27" spans="1:11" x14ac:dyDescent="0.2">
      <c r="A27">
        <v>27</v>
      </c>
      <c r="B27">
        <f t="shared" si="3"/>
        <v>0</v>
      </c>
      <c r="C27">
        <f t="shared" si="4"/>
        <v>0</v>
      </c>
      <c r="D27">
        <f t="shared" si="5"/>
        <v>0</v>
      </c>
      <c r="E27">
        <f t="shared" si="6"/>
        <v>0</v>
      </c>
    </row>
    <row r="28" spans="1:11" x14ac:dyDescent="0.2">
      <c r="A28">
        <v>33</v>
      </c>
      <c r="B28">
        <f t="shared" si="3"/>
        <v>0</v>
      </c>
      <c r="C28">
        <f t="shared" si="4"/>
        <v>0</v>
      </c>
      <c r="D28">
        <f t="shared" si="5"/>
        <v>0</v>
      </c>
      <c r="E28">
        <f t="shared" si="6"/>
        <v>0</v>
      </c>
      <c r="H28" s="4"/>
      <c r="K28" s="17"/>
    </row>
    <row r="29" spans="1:11" x14ac:dyDescent="0.2">
      <c r="A29">
        <v>39</v>
      </c>
      <c r="B29">
        <f t="shared" si="3"/>
        <v>0</v>
      </c>
      <c r="C29">
        <f t="shared" si="4"/>
        <v>0</v>
      </c>
      <c r="D29">
        <f t="shared" si="5"/>
        <v>0</v>
      </c>
      <c r="E29">
        <f t="shared" si="6"/>
        <v>0</v>
      </c>
      <c r="H29" s="4"/>
      <c r="K29" s="77"/>
    </row>
    <row r="30" spans="1:11" x14ac:dyDescent="0.2">
      <c r="A30">
        <v>47</v>
      </c>
      <c r="B30">
        <f t="shared" si="3"/>
        <v>0</v>
      </c>
      <c r="C30">
        <f t="shared" si="4"/>
        <v>0</v>
      </c>
      <c r="D30">
        <f t="shared" si="5"/>
        <v>0</v>
      </c>
      <c r="E30">
        <f t="shared" si="6"/>
        <v>0</v>
      </c>
      <c r="H30" s="4"/>
      <c r="K30" s="77"/>
    </row>
    <row r="31" spans="1:11" x14ac:dyDescent="0.2">
      <c r="A31">
        <v>56</v>
      </c>
      <c r="B31">
        <f t="shared" si="3"/>
        <v>0</v>
      </c>
      <c r="C31">
        <f t="shared" si="4"/>
        <v>0</v>
      </c>
      <c r="D31">
        <f t="shared" si="5"/>
        <v>0</v>
      </c>
      <c r="E31">
        <f t="shared" si="6"/>
        <v>0</v>
      </c>
      <c r="H31" s="4"/>
      <c r="K31" s="17"/>
    </row>
    <row r="32" spans="1:11" x14ac:dyDescent="0.2">
      <c r="A32">
        <v>68</v>
      </c>
      <c r="B32">
        <f t="shared" si="3"/>
        <v>0</v>
      </c>
      <c r="C32">
        <f t="shared" si="4"/>
        <v>0</v>
      </c>
      <c r="D32">
        <f t="shared" si="5"/>
        <v>0</v>
      </c>
      <c r="E32">
        <f t="shared" si="6"/>
        <v>0</v>
      </c>
      <c r="H32" s="4"/>
      <c r="K32" s="77"/>
    </row>
    <row r="33" spans="1:8" x14ac:dyDescent="0.2">
      <c r="A33">
        <v>82</v>
      </c>
      <c r="B33">
        <f t="shared" si="3"/>
        <v>0</v>
      </c>
      <c r="C33">
        <f t="shared" si="4"/>
        <v>0</v>
      </c>
      <c r="D33">
        <f t="shared" si="5"/>
        <v>0</v>
      </c>
      <c r="E33">
        <f t="shared" si="6"/>
        <v>0</v>
      </c>
    </row>
    <row r="34" spans="1:8" x14ac:dyDescent="0.2">
      <c r="A34">
        <f>A22*10</f>
        <v>100</v>
      </c>
      <c r="B34">
        <f t="shared" si="3"/>
        <v>0</v>
      </c>
      <c r="C34">
        <f t="shared" si="4"/>
        <v>0</v>
      </c>
      <c r="D34">
        <f t="shared" si="5"/>
        <v>0</v>
      </c>
      <c r="E34">
        <f t="shared" si="6"/>
        <v>0</v>
      </c>
      <c r="H34" s="77"/>
    </row>
    <row r="35" spans="1:8" x14ac:dyDescent="0.2">
      <c r="A35">
        <f t="shared" ref="A35:A98" si="8">A23*10</f>
        <v>120</v>
      </c>
      <c r="B35">
        <f t="shared" si="3"/>
        <v>0</v>
      </c>
      <c r="C35">
        <f t="shared" si="4"/>
        <v>0</v>
      </c>
      <c r="D35">
        <f t="shared" si="5"/>
        <v>0</v>
      </c>
      <c r="E35">
        <f t="shared" si="6"/>
        <v>0</v>
      </c>
      <c r="H35" s="77"/>
    </row>
    <row r="36" spans="1:8" x14ac:dyDescent="0.2">
      <c r="A36">
        <f t="shared" si="8"/>
        <v>150</v>
      </c>
      <c r="B36">
        <f t="shared" si="3"/>
        <v>0</v>
      </c>
      <c r="C36">
        <f t="shared" si="4"/>
        <v>0</v>
      </c>
      <c r="D36">
        <f t="shared" si="5"/>
        <v>0</v>
      </c>
      <c r="E36">
        <f t="shared" si="6"/>
        <v>0</v>
      </c>
    </row>
    <row r="37" spans="1:8" x14ac:dyDescent="0.2">
      <c r="A37">
        <f t="shared" si="8"/>
        <v>180</v>
      </c>
      <c r="B37">
        <f t="shared" si="3"/>
        <v>0</v>
      </c>
      <c r="C37">
        <f t="shared" si="4"/>
        <v>0</v>
      </c>
      <c r="D37">
        <f t="shared" si="5"/>
        <v>0</v>
      </c>
      <c r="E37">
        <f t="shared" si="6"/>
        <v>0</v>
      </c>
    </row>
    <row r="38" spans="1:8" x14ac:dyDescent="0.2">
      <c r="A38">
        <f t="shared" si="8"/>
        <v>220</v>
      </c>
      <c r="B38">
        <f t="shared" si="3"/>
        <v>0</v>
      </c>
      <c r="C38">
        <f t="shared" si="4"/>
        <v>0</v>
      </c>
      <c r="D38">
        <f t="shared" si="5"/>
        <v>0</v>
      </c>
      <c r="E38">
        <f t="shared" ref="E38:E69" si="9">IF(IF((E$3*10^12-$A39)*(E$3*10^12-$A38)*-1&lt;0,0,1)*IF(ABS(E$3*10^12-$A39)&gt;(E$3*10^12-$A38),$A38,$A39)=E39,0,IF((E$3*10^12-$A39)*(E$3*10^12-$A38)*-1&lt;0,0,1)*IF(ABS(E$3*10^12-$A39)&gt;(E$3*10^12-$A38),$A38,$A39))</f>
        <v>0</v>
      </c>
    </row>
    <row r="39" spans="1:8" x14ac:dyDescent="0.2">
      <c r="A39">
        <f t="shared" si="8"/>
        <v>270</v>
      </c>
      <c r="B39">
        <f t="shared" si="3"/>
        <v>0</v>
      </c>
      <c r="C39">
        <f t="shared" si="4"/>
        <v>0</v>
      </c>
      <c r="D39">
        <f t="shared" si="5"/>
        <v>0</v>
      </c>
      <c r="E39">
        <f t="shared" si="9"/>
        <v>0</v>
      </c>
    </row>
    <row r="40" spans="1:8" x14ac:dyDescent="0.2">
      <c r="A40">
        <f t="shared" si="8"/>
        <v>330</v>
      </c>
      <c r="B40">
        <f t="shared" si="3"/>
        <v>0</v>
      </c>
      <c r="C40">
        <f t="shared" si="4"/>
        <v>0</v>
      </c>
      <c r="D40">
        <f t="shared" si="5"/>
        <v>0</v>
      </c>
      <c r="E40">
        <f t="shared" si="9"/>
        <v>0</v>
      </c>
    </row>
    <row r="41" spans="1:8" x14ac:dyDescent="0.2">
      <c r="A41">
        <f t="shared" si="8"/>
        <v>390</v>
      </c>
      <c r="B41">
        <f t="shared" si="3"/>
        <v>0</v>
      </c>
      <c r="C41">
        <f t="shared" si="4"/>
        <v>0</v>
      </c>
      <c r="D41">
        <f t="shared" si="5"/>
        <v>0</v>
      </c>
      <c r="E41">
        <f t="shared" si="9"/>
        <v>0</v>
      </c>
    </row>
    <row r="42" spans="1:8" x14ac:dyDescent="0.2">
      <c r="A42">
        <f t="shared" si="8"/>
        <v>470</v>
      </c>
      <c r="B42">
        <f t="shared" si="3"/>
        <v>0</v>
      </c>
      <c r="C42">
        <f t="shared" si="4"/>
        <v>0</v>
      </c>
      <c r="D42">
        <f t="shared" si="5"/>
        <v>0</v>
      </c>
      <c r="E42">
        <f t="shared" si="9"/>
        <v>0</v>
      </c>
    </row>
    <row r="43" spans="1:8" x14ac:dyDescent="0.2">
      <c r="A43">
        <f t="shared" si="8"/>
        <v>560</v>
      </c>
      <c r="B43">
        <f t="shared" si="3"/>
        <v>0</v>
      </c>
      <c r="C43">
        <f t="shared" si="4"/>
        <v>0</v>
      </c>
      <c r="D43">
        <f t="shared" si="5"/>
        <v>0</v>
      </c>
      <c r="E43">
        <f t="shared" si="9"/>
        <v>0</v>
      </c>
    </row>
    <row r="44" spans="1:8" x14ac:dyDescent="0.2">
      <c r="A44">
        <f t="shared" si="8"/>
        <v>680</v>
      </c>
      <c r="B44">
        <f t="shared" si="3"/>
        <v>0</v>
      </c>
      <c r="C44">
        <f t="shared" si="4"/>
        <v>0</v>
      </c>
      <c r="D44">
        <f t="shared" si="5"/>
        <v>0</v>
      </c>
      <c r="E44">
        <f t="shared" si="9"/>
        <v>0</v>
      </c>
    </row>
    <row r="45" spans="1:8" x14ac:dyDescent="0.2">
      <c r="A45">
        <f>A33*10</f>
        <v>820</v>
      </c>
      <c r="B45">
        <f t="shared" si="3"/>
        <v>0</v>
      </c>
      <c r="C45">
        <f t="shared" si="4"/>
        <v>0</v>
      </c>
      <c r="D45">
        <f t="shared" si="5"/>
        <v>0</v>
      </c>
      <c r="E45">
        <f t="shared" si="9"/>
        <v>0</v>
      </c>
    </row>
    <row r="46" spans="1:8" x14ac:dyDescent="0.2">
      <c r="A46">
        <f t="shared" si="8"/>
        <v>1000</v>
      </c>
      <c r="B46">
        <f t="shared" si="3"/>
        <v>0</v>
      </c>
      <c r="C46">
        <f t="shared" si="4"/>
        <v>0</v>
      </c>
      <c r="D46">
        <f t="shared" si="5"/>
        <v>0</v>
      </c>
      <c r="E46">
        <f t="shared" si="9"/>
        <v>0</v>
      </c>
    </row>
    <row r="47" spans="1:8" x14ac:dyDescent="0.2">
      <c r="A47">
        <f t="shared" si="8"/>
        <v>1200</v>
      </c>
      <c r="B47">
        <f t="shared" si="3"/>
        <v>0</v>
      </c>
      <c r="C47">
        <f t="shared" si="4"/>
        <v>0</v>
      </c>
      <c r="D47">
        <f t="shared" si="5"/>
        <v>0</v>
      </c>
      <c r="E47">
        <f t="shared" si="9"/>
        <v>0</v>
      </c>
    </row>
    <row r="48" spans="1:8" x14ac:dyDescent="0.2">
      <c r="A48">
        <f t="shared" si="8"/>
        <v>1500</v>
      </c>
      <c r="B48">
        <f t="shared" si="3"/>
        <v>0</v>
      </c>
      <c r="C48">
        <f t="shared" si="4"/>
        <v>0</v>
      </c>
      <c r="D48">
        <f t="shared" si="5"/>
        <v>0</v>
      </c>
      <c r="E48">
        <f t="shared" si="9"/>
        <v>0</v>
      </c>
    </row>
    <row r="49" spans="1:5" x14ac:dyDescent="0.2">
      <c r="A49">
        <f t="shared" si="8"/>
        <v>1800</v>
      </c>
      <c r="B49">
        <f t="shared" si="3"/>
        <v>0</v>
      </c>
      <c r="C49">
        <f t="shared" si="4"/>
        <v>0</v>
      </c>
      <c r="D49">
        <f t="shared" si="5"/>
        <v>0</v>
      </c>
      <c r="E49">
        <f t="shared" si="9"/>
        <v>0</v>
      </c>
    </row>
    <row r="50" spans="1:5" x14ac:dyDescent="0.2">
      <c r="A50">
        <f t="shared" si="8"/>
        <v>2200</v>
      </c>
      <c r="B50">
        <f t="shared" si="3"/>
        <v>0</v>
      </c>
      <c r="C50">
        <f t="shared" si="4"/>
        <v>0</v>
      </c>
      <c r="D50">
        <f t="shared" si="5"/>
        <v>0</v>
      </c>
      <c r="E50">
        <f t="shared" si="9"/>
        <v>0</v>
      </c>
    </row>
    <row r="51" spans="1:5" x14ac:dyDescent="0.2">
      <c r="A51">
        <f t="shared" si="8"/>
        <v>2700</v>
      </c>
      <c r="B51">
        <f t="shared" si="3"/>
        <v>0</v>
      </c>
      <c r="C51">
        <f t="shared" si="4"/>
        <v>0</v>
      </c>
      <c r="D51">
        <f t="shared" si="5"/>
        <v>0</v>
      </c>
      <c r="E51">
        <f t="shared" si="9"/>
        <v>0</v>
      </c>
    </row>
    <row r="52" spans="1:5" x14ac:dyDescent="0.2">
      <c r="A52">
        <f t="shared" si="8"/>
        <v>3300</v>
      </c>
      <c r="B52">
        <f t="shared" si="3"/>
        <v>0</v>
      </c>
      <c r="C52">
        <f t="shared" si="4"/>
        <v>0</v>
      </c>
      <c r="D52">
        <f t="shared" si="5"/>
        <v>0</v>
      </c>
      <c r="E52">
        <f t="shared" si="9"/>
        <v>0</v>
      </c>
    </row>
    <row r="53" spans="1:5" x14ac:dyDescent="0.2">
      <c r="A53">
        <f t="shared" si="8"/>
        <v>3900</v>
      </c>
      <c r="B53">
        <f t="shared" si="3"/>
        <v>0</v>
      </c>
      <c r="C53">
        <f t="shared" si="4"/>
        <v>0</v>
      </c>
      <c r="D53">
        <f t="shared" si="5"/>
        <v>0</v>
      </c>
      <c r="E53">
        <f t="shared" si="9"/>
        <v>0</v>
      </c>
    </row>
    <row r="54" spans="1:5" x14ac:dyDescent="0.2">
      <c r="A54">
        <f t="shared" si="8"/>
        <v>4700</v>
      </c>
      <c r="B54">
        <f t="shared" si="3"/>
        <v>0</v>
      </c>
      <c r="C54">
        <f t="shared" si="4"/>
        <v>0</v>
      </c>
      <c r="D54">
        <f t="shared" si="5"/>
        <v>0</v>
      </c>
      <c r="E54">
        <f t="shared" si="9"/>
        <v>0</v>
      </c>
    </row>
    <row r="55" spans="1:5" x14ac:dyDescent="0.2">
      <c r="A55">
        <f t="shared" si="8"/>
        <v>5600</v>
      </c>
      <c r="B55">
        <f t="shared" si="3"/>
        <v>0</v>
      </c>
      <c r="C55">
        <f t="shared" si="4"/>
        <v>0</v>
      </c>
      <c r="D55">
        <f t="shared" si="5"/>
        <v>0</v>
      </c>
      <c r="E55">
        <f t="shared" si="9"/>
        <v>0</v>
      </c>
    </row>
    <row r="56" spans="1:5" x14ac:dyDescent="0.2">
      <c r="A56">
        <f t="shared" si="8"/>
        <v>6800</v>
      </c>
      <c r="B56">
        <f t="shared" si="3"/>
        <v>0</v>
      </c>
      <c r="C56">
        <f t="shared" si="4"/>
        <v>0</v>
      </c>
      <c r="D56">
        <f t="shared" si="5"/>
        <v>0</v>
      </c>
      <c r="E56">
        <f t="shared" si="9"/>
        <v>0</v>
      </c>
    </row>
    <row r="57" spans="1:5" x14ac:dyDescent="0.2">
      <c r="A57">
        <f t="shared" si="8"/>
        <v>8200</v>
      </c>
      <c r="B57">
        <f t="shared" si="3"/>
        <v>0</v>
      </c>
      <c r="C57">
        <f t="shared" si="4"/>
        <v>0</v>
      </c>
      <c r="D57">
        <f t="shared" si="5"/>
        <v>0</v>
      </c>
      <c r="E57">
        <f t="shared" si="9"/>
        <v>0</v>
      </c>
    </row>
    <row r="58" spans="1:5" x14ac:dyDescent="0.2">
      <c r="A58">
        <f t="shared" si="8"/>
        <v>10000</v>
      </c>
      <c r="B58">
        <f t="shared" si="3"/>
        <v>0</v>
      </c>
      <c r="C58">
        <f t="shared" si="4"/>
        <v>0</v>
      </c>
      <c r="D58">
        <f t="shared" si="5"/>
        <v>0</v>
      </c>
      <c r="E58">
        <f t="shared" si="9"/>
        <v>0</v>
      </c>
    </row>
    <row r="59" spans="1:5" x14ac:dyDescent="0.2">
      <c r="A59">
        <f t="shared" si="8"/>
        <v>12000</v>
      </c>
      <c r="B59">
        <f t="shared" si="3"/>
        <v>0</v>
      </c>
      <c r="C59">
        <f t="shared" si="4"/>
        <v>0</v>
      </c>
      <c r="D59">
        <f t="shared" si="5"/>
        <v>0</v>
      </c>
      <c r="E59">
        <f t="shared" si="9"/>
        <v>0</v>
      </c>
    </row>
    <row r="60" spans="1:5" x14ac:dyDescent="0.2">
      <c r="A60">
        <f t="shared" si="8"/>
        <v>15000</v>
      </c>
      <c r="B60">
        <f t="shared" si="3"/>
        <v>0</v>
      </c>
      <c r="C60">
        <f t="shared" si="4"/>
        <v>0</v>
      </c>
      <c r="D60">
        <f t="shared" si="5"/>
        <v>0</v>
      </c>
      <c r="E60">
        <f t="shared" si="9"/>
        <v>0</v>
      </c>
    </row>
    <row r="61" spans="1:5" x14ac:dyDescent="0.2">
      <c r="A61">
        <f t="shared" si="8"/>
        <v>18000</v>
      </c>
      <c r="B61">
        <f t="shared" si="3"/>
        <v>0</v>
      </c>
      <c r="C61">
        <f t="shared" si="4"/>
        <v>0</v>
      </c>
      <c r="D61">
        <f t="shared" si="5"/>
        <v>0</v>
      </c>
      <c r="E61">
        <f t="shared" si="9"/>
        <v>0</v>
      </c>
    </row>
    <row r="62" spans="1:5" x14ac:dyDescent="0.2">
      <c r="A62">
        <f t="shared" si="8"/>
        <v>22000</v>
      </c>
      <c r="B62">
        <f t="shared" si="3"/>
        <v>0</v>
      </c>
      <c r="C62">
        <f t="shared" si="4"/>
        <v>0</v>
      </c>
      <c r="D62">
        <f t="shared" si="5"/>
        <v>0</v>
      </c>
      <c r="E62">
        <f t="shared" si="9"/>
        <v>0</v>
      </c>
    </row>
    <row r="63" spans="1:5" x14ac:dyDescent="0.2">
      <c r="A63">
        <f t="shared" si="8"/>
        <v>27000</v>
      </c>
      <c r="B63">
        <f t="shared" si="3"/>
        <v>0</v>
      </c>
      <c r="C63">
        <f t="shared" si="4"/>
        <v>0</v>
      </c>
      <c r="D63">
        <f t="shared" si="5"/>
        <v>0</v>
      </c>
      <c r="E63">
        <f t="shared" si="9"/>
        <v>0</v>
      </c>
    </row>
    <row r="64" spans="1:5" x14ac:dyDescent="0.2">
      <c r="A64">
        <f t="shared" si="8"/>
        <v>33000</v>
      </c>
      <c r="B64">
        <f t="shared" si="3"/>
        <v>0</v>
      </c>
      <c r="C64">
        <f t="shared" si="4"/>
        <v>0</v>
      </c>
      <c r="D64">
        <f t="shared" si="5"/>
        <v>0</v>
      </c>
      <c r="E64">
        <f t="shared" si="9"/>
        <v>0</v>
      </c>
    </row>
    <row r="65" spans="1:5" x14ac:dyDescent="0.2">
      <c r="A65">
        <f t="shared" si="8"/>
        <v>39000</v>
      </c>
      <c r="B65">
        <f t="shared" si="3"/>
        <v>39000</v>
      </c>
      <c r="C65">
        <f t="shared" si="4"/>
        <v>0</v>
      </c>
      <c r="D65">
        <f t="shared" si="5"/>
        <v>0</v>
      </c>
      <c r="E65">
        <f t="shared" si="9"/>
        <v>0</v>
      </c>
    </row>
    <row r="66" spans="1:5" x14ac:dyDescent="0.2">
      <c r="A66">
        <f t="shared" si="8"/>
        <v>47000</v>
      </c>
      <c r="B66">
        <f t="shared" si="3"/>
        <v>0</v>
      </c>
      <c r="C66">
        <f t="shared" si="4"/>
        <v>0</v>
      </c>
      <c r="D66">
        <f t="shared" si="5"/>
        <v>0</v>
      </c>
      <c r="E66">
        <f t="shared" si="9"/>
        <v>0</v>
      </c>
    </row>
    <row r="67" spans="1:5" x14ac:dyDescent="0.2">
      <c r="A67">
        <f t="shared" si="8"/>
        <v>56000</v>
      </c>
      <c r="B67">
        <f t="shared" si="3"/>
        <v>0</v>
      </c>
      <c r="C67">
        <f t="shared" si="4"/>
        <v>0</v>
      </c>
      <c r="D67">
        <f t="shared" si="5"/>
        <v>0</v>
      </c>
      <c r="E67">
        <f t="shared" si="9"/>
        <v>0</v>
      </c>
    </row>
    <row r="68" spans="1:5" x14ac:dyDescent="0.2">
      <c r="A68">
        <f t="shared" si="8"/>
        <v>68000</v>
      </c>
      <c r="B68">
        <f t="shared" si="3"/>
        <v>0</v>
      </c>
      <c r="C68">
        <f t="shared" si="4"/>
        <v>0</v>
      </c>
      <c r="D68">
        <f t="shared" si="5"/>
        <v>0</v>
      </c>
      <c r="E68">
        <f t="shared" si="9"/>
        <v>0</v>
      </c>
    </row>
    <row r="69" spans="1:5" x14ac:dyDescent="0.2">
      <c r="A69">
        <f t="shared" si="8"/>
        <v>82000</v>
      </c>
      <c r="B69">
        <f t="shared" si="3"/>
        <v>0</v>
      </c>
      <c r="C69">
        <f t="shared" si="4"/>
        <v>0</v>
      </c>
      <c r="D69">
        <f t="shared" si="5"/>
        <v>0</v>
      </c>
      <c r="E69">
        <f t="shared" si="9"/>
        <v>0</v>
      </c>
    </row>
    <row r="70" spans="1:5" x14ac:dyDescent="0.2">
      <c r="A70">
        <f t="shared" si="8"/>
        <v>100000</v>
      </c>
      <c r="B70">
        <f t="shared" si="3"/>
        <v>0</v>
      </c>
      <c r="C70">
        <f t="shared" ref="C70:D70" si="10">IF(IF((C$3*10^12-$A71)*(C$3*10^12-$A70)*-1&lt;0,0,1)*IF(ABS(C$3*10^12-$A71)&gt;(C$3*10^12-$A70),$A70,$A71)=C71,0,IF((C$3*10^12-$A71)*(C$3*10^12-$A70)*-1&lt;0,0,1)*IF(ABS(C$3*10^12-$A71)&gt;(C$3*10^12-$A70),$A70,$A71))</f>
        <v>0</v>
      </c>
      <c r="D70">
        <f t="shared" si="10"/>
        <v>0</v>
      </c>
      <c r="E70">
        <f t="shared" ref="E70:E101" si="11">IF(IF((E$3*10^12-$A71)*(E$3*10^12-$A70)*-1&lt;0,0,1)*IF(ABS(E$3*10^12-$A71)&gt;(E$3*10^12-$A70),$A70,$A71)=E71,0,IF((E$3*10^12-$A71)*(E$3*10^12-$A70)*-1&lt;0,0,1)*IF(ABS(E$3*10^12-$A71)&gt;(E$3*10^12-$A70),$A70,$A71))</f>
        <v>0</v>
      </c>
    </row>
    <row r="71" spans="1:5" x14ac:dyDescent="0.2">
      <c r="A71">
        <f t="shared" si="8"/>
        <v>120000</v>
      </c>
      <c r="B71">
        <f t="shared" ref="B71:B134" si="12">IF(IF((B$3*10^12-$A72)*(B$3*10^12-$A71)*-1&lt;0,0,1)*IF(ABS(B$3*10^12-$A72)&gt;(B$3*10^12-$A71),$A71,$A72)=B72,0,IF((B$3*10^12-$A72)*(B$3*10^12-$A71)*-1&lt;0,0,1)*IF(ABS(B$3*10^12-$A72)&gt;(B$3*10^12-$A71),$A71,$A72))</f>
        <v>0</v>
      </c>
      <c r="C71">
        <f t="shared" ref="C71:C133" si="13">IF(IF((C$3*10^12-$A72)*(C$3*10^12-$A71)*-1&lt;0,0,1)*IF(ABS(C$3*10^12-$A72)&gt;(C$3*10^12-$A71),$A71,$A72)=C72,0,IF((C$3*10^12-$A72)*(C$3*10^12-$A71)*-1&lt;0,0,1)*IF(ABS(C$3*10^12-$A72)&gt;(C$3*10^12-$A71),$A71,$A72))</f>
        <v>0</v>
      </c>
      <c r="D71">
        <f t="shared" ref="D71:D102" si="14">IF(IF((D$3*10^12-$A72)*(D$3*10^12-$A71)*-1&lt;0,0,1)*IF(ABS(D$3*10^12-$A72)&gt;(D$3*10^12-$A71),$A71,$A72)=D72,0,IF((D$3*10^12-$A72)*(D$3*10^12-$A71)*-1&lt;0,0,1)*IF(ABS(D$3*10^12-$A72)&gt;(D$3*10^12-$A71),$A71,$A72))</f>
        <v>0</v>
      </c>
      <c r="E71">
        <f t="shared" si="11"/>
        <v>0</v>
      </c>
    </row>
    <row r="72" spans="1:5" x14ac:dyDescent="0.2">
      <c r="A72">
        <f t="shared" si="8"/>
        <v>150000</v>
      </c>
      <c r="B72">
        <f t="shared" si="12"/>
        <v>0</v>
      </c>
      <c r="C72">
        <f t="shared" si="13"/>
        <v>0</v>
      </c>
      <c r="D72">
        <f t="shared" si="14"/>
        <v>0</v>
      </c>
      <c r="E72">
        <f t="shared" si="11"/>
        <v>0</v>
      </c>
    </row>
    <row r="73" spans="1:5" x14ac:dyDescent="0.2">
      <c r="A73">
        <f t="shared" si="8"/>
        <v>180000</v>
      </c>
      <c r="B73">
        <f t="shared" si="12"/>
        <v>0</v>
      </c>
      <c r="C73">
        <f t="shared" si="13"/>
        <v>0</v>
      </c>
      <c r="D73">
        <f t="shared" si="14"/>
        <v>0</v>
      </c>
      <c r="E73">
        <f t="shared" si="11"/>
        <v>0</v>
      </c>
    </row>
    <row r="74" spans="1:5" x14ac:dyDescent="0.2">
      <c r="A74">
        <f t="shared" si="8"/>
        <v>220000</v>
      </c>
      <c r="B74">
        <f t="shared" si="12"/>
        <v>0</v>
      </c>
      <c r="C74">
        <f t="shared" si="13"/>
        <v>0</v>
      </c>
      <c r="D74">
        <f t="shared" si="14"/>
        <v>0</v>
      </c>
      <c r="E74">
        <f t="shared" si="11"/>
        <v>0</v>
      </c>
    </row>
    <row r="75" spans="1:5" x14ac:dyDescent="0.2">
      <c r="A75">
        <f t="shared" si="8"/>
        <v>270000</v>
      </c>
      <c r="B75">
        <f t="shared" si="12"/>
        <v>0</v>
      </c>
      <c r="C75">
        <f t="shared" si="13"/>
        <v>0</v>
      </c>
      <c r="D75">
        <f t="shared" si="14"/>
        <v>0</v>
      </c>
      <c r="E75">
        <f t="shared" si="11"/>
        <v>0</v>
      </c>
    </row>
    <row r="76" spans="1:5" x14ac:dyDescent="0.2">
      <c r="A76">
        <f t="shared" si="8"/>
        <v>330000</v>
      </c>
      <c r="B76">
        <f t="shared" si="12"/>
        <v>0</v>
      </c>
      <c r="C76">
        <f t="shared" si="13"/>
        <v>0</v>
      </c>
      <c r="D76">
        <f t="shared" si="14"/>
        <v>0</v>
      </c>
      <c r="E76">
        <f t="shared" si="11"/>
        <v>0</v>
      </c>
    </row>
    <row r="77" spans="1:5" x14ac:dyDescent="0.2">
      <c r="A77">
        <f t="shared" si="8"/>
        <v>390000</v>
      </c>
      <c r="B77">
        <f t="shared" si="12"/>
        <v>0</v>
      </c>
      <c r="C77">
        <f t="shared" si="13"/>
        <v>0</v>
      </c>
      <c r="D77">
        <f t="shared" si="14"/>
        <v>0</v>
      </c>
      <c r="E77">
        <f t="shared" si="11"/>
        <v>0</v>
      </c>
    </row>
    <row r="78" spans="1:5" x14ac:dyDescent="0.2">
      <c r="A78">
        <f t="shared" si="8"/>
        <v>470000</v>
      </c>
      <c r="B78">
        <f t="shared" si="12"/>
        <v>0</v>
      </c>
      <c r="C78">
        <f t="shared" si="13"/>
        <v>0</v>
      </c>
      <c r="D78">
        <f t="shared" si="14"/>
        <v>0</v>
      </c>
      <c r="E78">
        <f t="shared" si="11"/>
        <v>0</v>
      </c>
    </row>
    <row r="79" spans="1:5" x14ac:dyDescent="0.2">
      <c r="A79">
        <f t="shared" si="8"/>
        <v>560000</v>
      </c>
      <c r="B79">
        <f t="shared" si="12"/>
        <v>0</v>
      </c>
      <c r="C79">
        <f t="shared" si="13"/>
        <v>0</v>
      </c>
      <c r="D79">
        <f t="shared" si="14"/>
        <v>0</v>
      </c>
      <c r="E79">
        <f t="shared" si="11"/>
        <v>0</v>
      </c>
    </row>
    <row r="80" spans="1:5" x14ac:dyDescent="0.2">
      <c r="A80">
        <f t="shared" si="8"/>
        <v>680000</v>
      </c>
      <c r="B80">
        <f t="shared" si="12"/>
        <v>0</v>
      </c>
      <c r="C80">
        <f t="shared" si="13"/>
        <v>0</v>
      </c>
      <c r="D80">
        <f t="shared" si="14"/>
        <v>0</v>
      </c>
      <c r="E80">
        <f t="shared" si="11"/>
        <v>0</v>
      </c>
    </row>
    <row r="81" spans="1:5" x14ac:dyDescent="0.2">
      <c r="A81">
        <f t="shared" si="8"/>
        <v>820000</v>
      </c>
      <c r="B81">
        <f t="shared" si="12"/>
        <v>0</v>
      </c>
      <c r="C81">
        <f t="shared" si="13"/>
        <v>0</v>
      </c>
      <c r="D81">
        <f t="shared" si="14"/>
        <v>0</v>
      </c>
      <c r="E81">
        <f t="shared" si="11"/>
        <v>0</v>
      </c>
    </row>
    <row r="82" spans="1:5" x14ac:dyDescent="0.2">
      <c r="A82">
        <f t="shared" si="8"/>
        <v>1000000</v>
      </c>
      <c r="B82">
        <f t="shared" si="12"/>
        <v>0</v>
      </c>
      <c r="C82">
        <f t="shared" si="13"/>
        <v>0</v>
      </c>
      <c r="D82">
        <f t="shared" si="14"/>
        <v>0</v>
      </c>
      <c r="E82">
        <f t="shared" si="11"/>
        <v>0</v>
      </c>
    </row>
    <row r="83" spans="1:5" x14ac:dyDescent="0.2">
      <c r="A83">
        <f t="shared" si="8"/>
        <v>1200000</v>
      </c>
      <c r="B83">
        <f t="shared" si="12"/>
        <v>0</v>
      </c>
      <c r="C83">
        <f t="shared" si="13"/>
        <v>0</v>
      </c>
      <c r="D83">
        <f t="shared" si="14"/>
        <v>0</v>
      </c>
      <c r="E83">
        <f t="shared" si="11"/>
        <v>0</v>
      </c>
    </row>
    <row r="84" spans="1:5" x14ac:dyDescent="0.2">
      <c r="A84">
        <f t="shared" si="8"/>
        <v>1500000</v>
      </c>
      <c r="B84">
        <f t="shared" si="12"/>
        <v>0</v>
      </c>
      <c r="C84">
        <f t="shared" si="13"/>
        <v>0</v>
      </c>
      <c r="D84">
        <f t="shared" si="14"/>
        <v>0</v>
      </c>
      <c r="E84">
        <f t="shared" si="11"/>
        <v>0</v>
      </c>
    </row>
    <row r="85" spans="1:5" x14ac:dyDescent="0.2">
      <c r="A85">
        <f t="shared" si="8"/>
        <v>1800000</v>
      </c>
      <c r="B85">
        <f t="shared" si="12"/>
        <v>0</v>
      </c>
      <c r="C85">
        <f t="shared" si="13"/>
        <v>0</v>
      </c>
      <c r="D85">
        <f t="shared" si="14"/>
        <v>0</v>
      </c>
      <c r="E85">
        <f t="shared" si="11"/>
        <v>0</v>
      </c>
    </row>
    <row r="86" spans="1:5" x14ac:dyDescent="0.2">
      <c r="A86">
        <f t="shared" si="8"/>
        <v>2200000</v>
      </c>
      <c r="B86">
        <f t="shared" si="12"/>
        <v>0</v>
      </c>
      <c r="C86">
        <f t="shared" si="13"/>
        <v>0</v>
      </c>
      <c r="D86">
        <f t="shared" si="14"/>
        <v>0</v>
      </c>
      <c r="E86">
        <f t="shared" si="11"/>
        <v>0</v>
      </c>
    </row>
    <row r="87" spans="1:5" x14ac:dyDescent="0.2">
      <c r="A87">
        <f t="shared" si="8"/>
        <v>2700000</v>
      </c>
      <c r="B87">
        <f t="shared" si="12"/>
        <v>0</v>
      </c>
      <c r="C87">
        <f t="shared" si="13"/>
        <v>0</v>
      </c>
      <c r="D87">
        <f t="shared" si="14"/>
        <v>0</v>
      </c>
      <c r="E87">
        <f t="shared" si="11"/>
        <v>0</v>
      </c>
    </row>
    <row r="88" spans="1:5" x14ac:dyDescent="0.2">
      <c r="A88">
        <f t="shared" si="8"/>
        <v>3300000</v>
      </c>
      <c r="B88">
        <f t="shared" si="12"/>
        <v>0</v>
      </c>
      <c r="C88">
        <f t="shared" si="13"/>
        <v>0</v>
      </c>
      <c r="D88">
        <f t="shared" si="14"/>
        <v>0</v>
      </c>
      <c r="E88">
        <f t="shared" si="11"/>
        <v>0</v>
      </c>
    </row>
    <row r="89" spans="1:5" x14ac:dyDescent="0.2">
      <c r="A89">
        <f t="shared" si="8"/>
        <v>3900000</v>
      </c>
      <c r="B89">
        <f t="shared" si="12"/>
        <v>0</v>
      </c>
      <c r="C89">
        <f t="shared" si="13"/>
        <v>0</v>
      </c>
      <c r="D89">
        <f t="shared" si="14"/>
        <v>0</v>
      </c>
      <c r="E89">
        <f t="shared" si="11"/>
        <v>0</v>
      </c>
    </row>
    <row r="90" spans="1:5" x14ac:dyDescent="0.2">
      <c r="A90">
        <f t="shared" si="8"/>
        <v>4700000</v>
      </c>
      <c r="B90">
        <f t="shared" si="12"/>
        <v>0</v>
      </c>
      <c r="C90">
        <f t="shared" si="13"/>
        <v>0</v>
      </c>
      <c r="D90">
        <f t="shared" si="14"/>
        <v>0</v>
      </c>
      <c r="E90">
        <f t="shared" si="11"/>
        <v>0</v>
      </c>
    </row>
    <row r="91" spans="1:5" x14ac:dyDescent="0.2">
      <c r="A91">
        <f t="shared" si="8"/>
        <v>5600000</v>
      </c>
      <c r="B91">
        <f t="shared" si="12"/>
        <v>0</v>
      </c>
      <c r="C91">
        <f t="shared" si="13"/>
        <v>0</v>
      </c>
      <c r="D91">
        <f t="shared" si="14"/>
        <v>0</v>
      </c>
      <c r="E91">
        <f t="shared" si="11"/>
        <v>0</v>
      </c>
    </row>
    <row r="92" spans="1:5" x14ac:dyDescent="0.2">
      <c r="A92">
        <f t="shared" si="8"/>
        <v>6800000</v>
      </c>
      <c r="B92">
        <f t="shared" si="12"/>
        <v>0</v>
      </c>
      <c r="C92">
        <f t="shared" si="13"/>
        <v>0</v>
      </c>
      <c r="D92">
        <f t="shared" si="14"/>
        <v>0</v>
      </c>
      <c r="E92">
        <f t="shared" si="11"/>
        <v>0</v>
      </c>
    </row>
    <row r="93" spans="1:5" x14ac:dyDescent="0.2">
      <c r="A93">
        <f t="shared" si="8"/>
        <v>8200000</v>
      </c>
      <c r="B93">
        <f t="shared" si="12"/>
        <v>0</v>
      </c>
      <c r="C93">
        <f t="shared" si="13"/>
        <v>0</v>
      </c>
      <c r="D93">
        <f t="shared" si="14"/>
        <v>0</v>
      </c>
      <c r="E93">
        <f t="shared" si="11"/>
        <v>0</v>
      </c>
    </row>
    <row r="94" spans="1:5" x14ac:dyDescent="0.2">
      <c r="A94">
        <f t="shared" si="8"/>
        <v>10000000</v>
      </c>
      <c r="B94">
        <f t="shared" si="12"/>
        <v>0</v>
      </c>
      <c r="C94">
        <f t="shared" si="13"/>
        <v>0</v>
      </c>
      <c r="D94">
        <f t="shared" si="14"/>
        <v>0</v>
      </c>
      <c r="E94">
        <f t="shared" si="11"/>
        <v>0</v>
      </c>
    </row>
    <row r="95" spans="1:5" x14ac:dyDescent="0.2">
      <c r="A95">
        <f t="shared" si="8"/>
        <v>12000000</v>
      </c>
      <c r="B95">
        <f t="shared" si="12"/>
        <v>0</v>
      </c>
      <c r="C95">
        <f t="shared" si="13"/>
        <v>0</v>
      </c>
      <c r="D95">
        <f t="shared" si="14"/>
        <v>0</v>
      </c>
      <c r="E95">
        <f t="shared" si="11"/>
        <v>0</v>
      </c>
    </row>
    <row r="96" spans="1:5" x14ac:dyDescent="0.2">
      <c r="A96">
        <f t="shared" si="8"/>
        <v>15000000</v>
      </c>
      <c r="B96">
        <f t="shared" si="12"/>
        <v>0</v>
      </c>
      <c r="C96">
        <f t="shared" si="13"/>
        <v>0</v>
      </c>
      <c r="D96">
        <f t="shared" si="14"/>
        <v>0</v>
      </c>
      <c r="E96">
        <f t="shared" si="11"/>
        <v>0</v>
      </c>
    </row>
    <row r="97" spans="1:5" x14ac:dyDescent="0.2">
      <c r="A97">
        <f t="shared" si="8"/>
        <v>18000000</v>
      </c>
      <c r="B97">
        <f t="shared" si="12"/>
        <v>0</v>
      </c>
      <c r="C97">
        <f t="shared" si="13"/>
        <v>0</v>
      </c>
      <c r="D97">
        <f t="shared" si="14"/>
        <v>0</v>
      </c>
      <c r="E97">
        <f t="shared" si="11"/>
        <v>0</v>
      </c>
    </row>
    <row r="98" spans="1:5" x14ac:dyDescent="0.2">
      <c r="A98">
        <f t="shared" si="8"/>
        <v>22000000</v>
      </c>
      <c r="B98">
        <f t="shared" si="12"/>
        <v>0</v>
      </c>
      <c r="C98">
        <f t="shared" si="13"/>
        <v>0</v>
      </c>
      <c r="D98">
        <f t="shared" si="14"/>
        <v>0</v>
      </c>
      <c r="E98">
        <f t="shared" si="11"/>
        <v>0</v>
      </c>
    </row>
    <row r="99" spans="1:5" x14ac:dyDescent="0.2">
      <c r="A99">
        <f t="shared" ref="A99:A159" si="15">A87*10</f>
        <v>27000000</v>
      </c>
      <c r="B99">
        <f t="shared" si="12"/>
        <v>0</v>
      </c>
      <c r="C99">
        <f t="shared" si="13"/>
        <v>0</v>
      </c>
      <c r="D99">
        <f t="shared" si="14"/>
        <v>0</v>
      </c>
      <c r="E99">
        <f t="shared" si="11"/>
        <v>0</v>
      </c>
    </row>
    <row r="100" spans="1:5" x14ac:dyDescent="0.2">
      <c r="A100">
        <f t="shared" si="15"/>
        <v>33000000</v>
      </c>
      <c r="B100">
        <f t="shared" si="12"/>
        <v>0</v>
      </c>
      <c r="C100">
        <f t="shared" si="13"/>
        <v>0</v>
      </c>
      <c r="D100">
        <f t="shared" si="14"/>
        <v>0</v>
      </c>
      <c r="E100">
        <f t="shared" si="11"/>
        <v>0</v>
      </c>
    </row>
    <row r="101" spans="1:5" x14ac:dyDescent="0.2">
      <c r="A101">
        <f t="shared" si="15"/>
        <v>39000000</v>
      </c>
      <c r="B101">
        <f t="shared" si="12"/>
        <v>0</v>
      </c>
      <c r="C101">
        <f t="shared" si="13"/>
        <v>0</v>
      </c>
      <c r="D101">
        <f t="shared" si="14"/>
        <v>0</v>
      </c>
      <c r="E101">
        <f t="shared" si="11"/>
        <v>0</v>
      </c>
    </row>
    <row r="102" spans="1:5" x14ac:dyDescent="0.2">
      <c r="A102">
        <f t="shared" si="15"/>
        <v>47000000</v>
      </c>
      <c r="B102">
        <f t="shared" si="12"/>
        <v>0</v>
      </c>
      <c r="C102">
        <f t="shared" si="13"/>
        <v>0</v>
      </c>
      <c r="D102">
        <f t="shared" si="14"/>
        <v>0</v>
      </c>
      <c r="E102">
        <f t="shared" ref="E102:E133" si="16">IF(IF((E$3*10^12-$A103)*(E$3*10^12-$A102)*-1&lt;0,0,1)*IF(ABS(E$3*10^12-$A103)&gt;(E$3*10^12-$A102),$A102,$A103)=E103,0,IF((E$3*10^12-$A103)*(E$3*10^12-$A102)*-1&lt;0,0,1)*IF(ABS(E$3*10^12-$A103)&gt;(E$3*10^12-$A102),$A102,$A103))</f>
        <v>0</v>
      </c>
    </row>
    <row r="103" spans="1:5" x14ac:dyDescent="0.2">
      <c r="A103">
        <f t="shared" si="15"/>
        <v>56000000</v>
      </c>
      <c r="B103">
        <f t="shared" si="12"/>
        <v>0</v>
      </c>
      <c r="C103">
        <f t="shared" si="13"/>
        <v>0</v>
      </c>
      <c r="D103">
        <f t="shared" ref="D103:D134" si="17">IF(IF((D$3*10^12-$A104)*(D$3*10^12-$A103)*-1&lt;0,0,1)*IF(ABS(D$3*10^12-$A104)&gt;(D$3*10^12-$A103),$A103,$A104)=D104,0,IF((D$3*10^12-$A104)*(D$3*10^12-$A103)*-1&lt;0,0,1)*IF(ABS(D$3*10^12-$A104)&gt;(D$3*10^12-$A103),$A103,$A104))</f>
        <v>0</v>
      </c>
      <c r="E103">
        <f t="shared" si="16"/>
        <v>0</v>
      </c>
    </row>
    <row r="104" spans="1:5" x14ac:dyDescent="0.2">
      <c r="A104">
        <f t="shared" si="15"/>
        <v>68000000</v>
      </c>
      <c r="B104">
        <f t="shared" si="12"/>
        <v>0</v>
      </c>
      <c r="C104">
        <f t="shared" si="13"/>
        <v>0</v>
      </c>
      <c r="D104">
        <f t="shared" si="17"/>
        <v>0</v>
      </c>
      <c r="E104">
        <f t="shared" si="16"/>
        <v>0</v>
      </c>
    </row>
    <row r="105" spans="1:5" x14ac:dyDescent="0.2">
      <c r="A105">
        <f t="shared" si="15"/>
        <v>82000000</v>
      </c>
      <c r="B105">
        <f t="shared" si="12"/>
        <v>0</v>
      </c>
      <c r="C105">
        <f t="shared" si="13"/>
        <v>0</v>
      </c>
      <c r="D105">
        <f t="shared" si="17"/>
        <v>0</v>
      </c>
      <c r="E105">
        <f t="shared" si="16"/>
        <v>0</v>
      </c>
    </row>
    <row r="106" spans="1:5" x14ac:dyDescent="0.2">
      <c r="A106">
        <f t="shared" si="15"/>
        <v>100000000</v>
      </c>
      <c r="B106">
        <f t="shared" si="12"/>
        <v>0</v>
      </c>
      <c r="C106">
        <f t="shared" si="13"/>
        <v>0</v>
      </c>
      <c r="D106">
        <f t="shared" si="17"/>
        <v>0</v>
      </c>
      <c r="E106">
        <f t="shared" si="16"/>
        <v>0</v>
      </c>
    </row>
    <row r="107" spans="1:5" x14ac:dyDescent="0.2">
      <c r="A107">
        <f t="shared" si="15"/>
        <v>120000000</v>
      </c>
      <c r="B107">
        <f t="shared" si="12"/>
        <v>0</v>
      </c>
      <c r="C107">
        <f t="shared" si="13"/>
        <v>0</v>
      </c>
      <c r="D107">
        <f t="shared" si="17"/>
        <v>0</v>
      </c>
      <c r="E107">
        <f t="shared" si="16"/>
        <v>0</v>
      </c>
    </row>
    <row r="108" spans="1:5" x14ac:dyDescent="0.2">
      <c r="A108">
        <f t="shared" si="15"/>
        <v>150000000</v>
      </c>
      <c r="B108">
        <f t="shared" si="12"/>
        <v>0</v>
      </c>
      <c r="C108">
        <f t="shared" si="13"/>
        <v>0</v>
      </c>
      <c r="D108">
        <f t="shared" si="17"/>
        <v>0</v>
      </c>
      <c r="E108">
        <f t="shared" si="16"/>
        <v>0</v>
      </c>
    </row>
    <row r="109" spans="1:5" x14ac:dyDescent="0.2">
      <c r="A109">
        <f t="shared" si="15"/>
        <v>180000000</v>
      </c>
      <c r="B109">
        <f t="shared" si="12"/>
        <v>0</v>
      </c>
      <c r="C109">
        <f t="shared" si="13"/>
        <v>0</v>
      </c>
      <c r="D109">
        <f t="shared" si="17"/>
        <v>0</v>
      </c>
      <c r="E109">
        <f t="shared" si="16"/>
        <v>0</v>
      </c>
    </row>
    <row r="110" spans="1:5" x14ac:dyDescent="0.2">
      <c r="A110">
        <f t="shared" si="15"/>
        <v>220000000</v>
      </c>
      <c r="B110">
        <f t="shared" si="12"/>
        <v>0</v>
      </c>
      <c r="C110">
        <f t="shared" si="13"/>
        <v>0</v>
      </c>
      <c r="D110">
        <f t="shared" si="17"/>
        <v>0</v>
      </c>
      <c r="E110">
        <f t="shared" si="16"/>
        <v>0</v>
      </c>
    </row>
    <row r="111" spans="1:5" x14ac:dyDescent="0.2">
      <c r="A111">
        <f t="shared" si="15"/>
        <v>270000000</v>
      </c>
      <c r="B111">
        <f t="shared" si="12"/>
        <v>0</v>
      </c>
      <c r="C111">
        <f t="shared" si="13"/>
        <v>0</v>
      </c>
      <c r="D111">
        <f t="shared" si="17"/>
        <v>0</v>
      </c>
      <c r="E111">
        <f t="shared" si="16"/>
        <v>0</v>
      </c>
    </row>
    <row r="112" spans="1:5" x14ac:dyDescent="0.2">
      <c r="A112">
        <f t="shared" si="15"/>
        <v>330000000</v>
      </c>
      <c r="B112">
        <f t="shared" si="12"/>
        <v>0</v>
      </c>
      <c r="C112">
        <f t="shared" si="13"/>
        <v>0</v>
      </c>
      <c r="D112">
        <f t="shared" si="17"/>
        <v>0</v>
      </c>
      <c r="E112">
        <f t="shared" si="16"/>
        <v>0</v>
      </c>
    </row>
    <row r="113" spans="1:5" x14ac:dyDescent="0.2">
      <c r="A113">
        <f t="shared" si="15"/>
        <v>390000000</v>
      </c>
      <c r="B113">
        <f t="shared" si="12"/>
        <v>0</v>
      </c>
      <c r="C113">
        <f t="shared" si="13"/>
        <v>0</v>
      </c>
      <c r="D113">
        <f t="shared" si="17"/>
        <v>0</v>
      </c>
      <c r="E113">
        <f t="shared" si="16"/>
        <v>0</v>
      </c>
    </row>
    <row r="114" spans="1:5" x14ac:dyDescent="0.2">
      <c r="A114">
        <f t="shared" si="15"/>
        <v>470000000</v>
      </c>
      <c r="B114">
        <f t="shared" si="12"/>
        <v>0</v>
      </c>
      <c r="C114">
        <f t="shared" si="13"/>
        <v>0</v>
      </c>
      <c r="D114">
        <f t="shared" si="17"/>
        <v>0</v>
      </c>
      <c r="E114">
        <f t="shared" si="16"/>
        <v>0</v>
      </c>
    </row>
    <row r="115" spans="1:5" x14ac:dyDescent="0.2">
      <c r="A115">
        <f t="shared" si="15"/>
        <v>560000000</v>
      </c>
      <c r="B115">
        <f t="shared" si="12"/>
        <v>0</v>
      </c>
      <c r="C115">
        <f t="shared" si="13"/>
        <v>0</v>
      </c>
      <c r="D115">
        <f t="shared" si="17"/>
        <v>0</v>
      </c>
      <c r="E115">
        <f t="shared" si="16"/>
        <v>0</v>
      </c>
    </row>
    <row r="116" spans="1:5" x14ac:dyDescent="0.2">
      <c r="A116">
        <f t="shared" si="15"/>
        <v>680000000</v>
      </c>
      <c r="B116">
        <f t="shared" si="12"/>
        <v>0</v>
      </c>
      <c r="C116">
        <f t="shared" si="13"/>
        <v>0</v>
      </c>
      <c r="D116">
        <f t="shared" si="17"/>
        <v>0</v>
      </c>
      <c r="E116">
        <f t="shared" si="16"/>
        <v>0</v>
      </c>
    </row>
    <row r="117" spans="1:5" x14ac:dyDescent="0.2">
      <c r="A117">
        <f t="shared" si="15"/>
        <v>820000000</v>
      </c>
      <c r="B117">
        <f t="shared" si="12"/>
        <v>0</v>
      </c>
      <c r="C117">
        <f t="shared" si="13"/>
        <v>0</v>
      </c>
      <c r="D117">
        <f t="shared" si="17"/>
        <v>0</v>
      </c>
      <c r="E117">
        <f t="shared" si="16"/>
        <v>0</v>
      </c>
    </row>
    <row r="118" spans="1:5" x14ac:dyDescent="0.2">
      <c r="A118">
        <f t="shared" si="15"/>
        <v>1000000000</v>
      </c>
      <c r="B118">
        <f t="shared" si="12"/>
        <v>0</v>
      </c>
      <c r="C118">
        <f t="shared" si="13"/>
        <v>0</v>
      </c>
      <c r="D118">
        <f t="shared" si="17"/>
        <v>0</v>
      </c>
      <c r="E118">
        <f t="shared" si="16"/>
        <v>0</v>
      </c>
    </row>
    <row r="119" spans="1:5" x14ac:dyDescent="0.2">
      <c r="A119">
        <f t="shared" si="15"/>
        <v>1200000000</v>
      </c>
      <c r="B119">
        <f t="shared" si="12"/>
        <v>0</v>
      </c>
      <c r="C119">
        <f t="shared" si="13"/>
        <v>0</v>
      </c>
      <c r="D119">
        <f t="shared" si="17"/>
        <v>0</v>
      </c>
      <c r="E119">
        <f t="shared" si="16"/>
        <v>0</v>
      </c>
    </row>
    <row r="120" spans="1:5" x14ac:dyDescent="0.2">
      <c r="A120">
        <f t="shared" si="15"/>
        <v>1500000000</v>
      </c>
      <c r="B120">
        <f t="shared" si="12"/>
        <v>0</v>
      </c>
      <c r="C120">
        <f t="shared" si="13"/>
        <v>0</v>
      </c>
      <c r="D120">
        <f t="shared" si="17"/>
        <v>0</v>
      </c>
      <c r="E120">
        <f t="shared" si="16"/>
        <v>0</v>
      </c>
    </row>
    <row r="121" spans="1:5" x14ac:dyDescent="0.2">
      <c r="A121">
        <f t="shared" si="15"/>
        <v>1800000000</v>
      </c>
      <c r="B121">
        <f t="shared" si="12"/>
        <v>0</v>
      </c>
      <c r="C121">
        <f t="shared" si="13"/>
        <v>0</v>
      </c>
      <c r="D121">
        <f t="shared" si="17"/>
        <v>0</v>
      </c>
      <c r="E121">
        <f t="shared" si="16"/>
        <v>0</v>
      </c>
    </row>
    <row r="122" spans="1:5" x14ac:dyDescent="0.2">
      <c r="A122">
        <f t="shared" si="15"/>
        <v>2200000000</v>
      </c>
      <c r="B122">
        <f t="shared" si="12"/>
        <v>0</v>
      </c>
      <c r="C122">
        <f t="shared" si="13"/>
        <v>0</v>
      </c>
      <c r="D122">
        <f t="shared" si="17"/>
        <v>0</v>
      </c>
      <c r="E122">
        <f t="shared" si="16"/>
        <v>0</v>
      </c>
    </row>
    <row r="123" spans="1:5" x14ac:dyDescent="0.2">
      <c r="A123">
        <f t="shared" si="15"/>
        <v>2700000000</v>
      </c>
      <c r="B123">
        <f t="shared" si="12"/>
        <v>0</v>
      </c>
      <c r="C123">
        <f t="shared" si="13"/>
        <v>0</v>
      </c>
      <c r="D123">
        <f t="shared" si="17"/>
        <v>0</v>
      </c>
      <c r="E123">
        <f t="shared" si="16"/>
        <v>0</v>
      </c>
    </row>
    <row r="124" spans="1:5" x14ac:dyDescent="0.2">
      <c r="A124">
        <f t="shared" si="15"/>
        <v>3300000000</v>
      </c>
      <c r="B124">
        <f t="shared" si="12"/>
        <v>0</v>
      </c>
      <c r="C124">
        <f t="shared" si="13"/>
        <v>0</v>
      </c>
      <c r="D124">
        <f t="shared" si="17"/>
        <v>0</v>
      </c>
      <c r="E124">
        <f t="shared" si="16"/>
        <v>0</v>
      </c>
    </row>
    <row r="125" spans="1:5" x14ac:dyDescent="0.2">
      <c r="A125">
        <f t="shared" si="15"/>
        <v>3900000000</v>
      </c>
      <c r="B125">
        <f t="shared" si="12"/>
        <v>0</v>
      </c>
      <c r="C125">
        <f t="shared" si="13"/>
        <v>0</v>
      </c>
      <c r="D125">
        <f t="shared" si="17"/>
        <v>0</v>
      </c>
      <c r="E125">
        <f t="shared" si="16"/>
        <v>0</v>
      </c>
    </row>
    <row r="126" spans="1:5" x14ac:dyDescent="0.2">
      <c r="A126">
        <f t="shared" si="15"/>
        <v>4700000000</v>
      </c>
      <c r="B126">
        <f t="shared" si="12"/>
        <v>0</v>
      </c>
      <c r="C126">
        <f t="shared" si="13"/>
        <v>0</v>
      </c>
      <c r="D126">
        <f t="shared" si="17"/>
        <v>0</v>
      </c>
      <c r="E126">
        <f t="shared" si="16"/>
        <v>0</v>
      </c>
    </row>
    <row r="127" spans="1:5" x14ac:dyDescent="0.2">
      <c r="A127">
        <f t="shared" si="15"/>
        <v>5600000000</v>
      </c>
      <c r="B127">
        <f t="shared" si="12"/>
        <v>0</v>
      </c>
      <c r="C127">
        <f t="shared" si="13"/>
        <v>0</v>
      </c>
      <c r="D127">
        <f t="shared" si="17"/>
        <v>0</v>
      </c>
      <c r="E127">
        <f t="shared" si="16"/>
        <v>0</v>
      </c>
    </row>
    <row r="128" spans="1:5" x14ac:dyDescent="0.2">
      <c r="A128">
        <f t="shared" si="15"/>
        <v>6800000000</v>
      </c>
      <c r="B128">
        <f t="shared" si="12"/>
        <v>0</v>
      </c>
      <c r="C128">
        <f t="shared" si="13"/>
        <v>0</v>
      </c>
      <c r="D128">
        <f t="shared" si="17"/>
        <v>0</v>
      </c>
      <c r="E128">
        <f t="shared" si="16"/>
        <v>0</v>
      </c>
    </row>
    <row r="129" spans="1:5" x14ac:dyDescent="0.2">
      <c r="A129">
        <f t="shared" si="15"/>
        <v>8200000000</v>
      </c>
      <c r="B129">
        <f t="shared" si="12"/>
        <v>0</v>
      </c>
      <c r="C129">
        <f t="shared" si="13"/>
        <v>0</v>
      </c>
      <c r="D129">
        <f t="shared" si="17"/>
        <v>0</v>
      </c>
      <c r="E129">
        <f t="shared" si="16"/>
        <v>0</v>
      </c>
    </row>
    <row r="130" spans="1:5" x14ac:dyDescent="0.2">
      <c r="A130">
        <f t="shared" si="15"/>
        <v>10000000000</v>
      </c>
      <c r="B130">
        <f t="shared" si="12"/>
        <v>0</v>
      </c>
      <c r="C130">
        <f t="shared" si="13"/>
        <v>0</v>
      </c>
      <c r="D130">
        <f t="shared" si="17"/>
        <v>0</v>
      </c>
      <c r="E130">
        <f t="shared" si="16"/>
        <v>0</v>
      </c>
    </row>
    <row r="131" spans="1:5" x14ac:dyDescent="0.2">
      <c r="A131">
        <f t="shared" si="15"/>
        <v>12000000000</v>
      </c>
      <c r="B131">
        <f t="shared" si="12"/>
        <v>0</v>
      </c>
      <c r="C131">
        <f t="shared" si="13"/>
        <v>0</v>
      </c>
      <c r="D131">
        <f t="shared" si="17"/>
        <v>0</v>
      </c>
      <c r="E131">
        <f t="shared" si="16"/>
        <v>0</v>
      </c>
    </row>
    <row r="132" spans="1:5" x14ac:dyDescent="0.2">
      <c r="A132">
        <f t="shared" si="15"/>
        <v>15000000000</v>
      </c>
      <c r="B132">
        <f t="shared" si="12"/>
        <v>0</v>
      </c>
      <c r="C132">
        <f t="shared" si="13"/>
        <v>0</v>
      </c>
      <c r="D132">
        <f t="shared" si="17"/>
        <v>0</v>
      </c>
      <c r="E132">
        <f t="shared" si="16"/>
        <v>0</v>
      </c>
    </row>
    <row r="133" spans="1:5" x14ac:dyDescent="0.2">
      <c r="A133">
        <f t="shared" si="15"/>
        <v>18000000000</v>
      </c>
      <c r="B133">
        <f t="shared" si="12"/>
        <v>0</v>
      </c>
      <c r="C133">
        <f t="shared" si="13"/>
        <v>0</v>
      </c>
      <c r="D133">
        <f t="shared" si="17"/>
        <v>0</v>
      </c>
      <c r="E133">
        <f t="shared" si="16"/>
        <v>0</v>
      </c>
    </row>
    <row r="134" spans="1:5" x14ac:dyDescent="0.2">
      <c r="A134">
        <f t="shared" si="15"/>
        <v>22000000000</v>
      </c>
      <c r="B134">
        <f t="shared" si="12"/>
        <v>0</v>
      </c>
      <c r="C134">
        <f t="shared" ref="C134:D159" si="18">IF(IF((C$3*10^12-$A135)*(C$3*10^12-$A134)*-1&lt;0,0,1)*IF(ABS(C$3*10^12-$A135)&gt;(C$3*10^12-$A134),$A134,$A135)=C135,0,IF((C$3*10^12-$A135)*(C$3*10^12-$A134)*-1&lt;0,0,1)*IF(ABS(C$3*10^12-$A135)&gt;(C$3*10^12-$A134),$A134,$A135))</f>
        <v>0</v>
      </c>
      <c r="D134">
        <f t="shared" si="17"/>
        <v>0</v>
      </c>
      <c r="E134">
        <f t="shared" ref="E134:E159" si="19">IF(IF((E$3*10^12-$A135)*(E$3*10^12-$A134)*-1&lt;0,0,1)*IF(ABS(E$3*10^12-$A135)&gt;(E$3*10^12-$A134),$A134,$A135)=E135,0,IF((E$3*10^12-$A135)*(E$3*10^12-$A134)*-1&lt;0,0,1)*IF(ABS(E$3*10^12-$A135)&gt;(E$3*10^12-$A134),$A134,$A135))</f>
        <v>0</v>
      </c>
    </row>
    <row r="135" spans="1:5" x14ac:dyDescent="0.2">
      <c r="A135">
        <f t="shared" si="15"/>
        <v>27000000000</v>
      </c>
      <c r="B135">
        <f t="shared" ref="B135:B159" si="20">IF(IF((B$3*10^12-$A136)*(B$3*10^12-$A135)*-1&lt;0,0,1)*IF(ABS(B$3*10^12-$A136)&gt;(B$3*10^12-$A135),$A135,$A136)=B136,0,IF((B$3*10^12-$A136)*(B$3*10^12-$A135)*-1&lt;0,0,1)*IF(ABS(B$3*10^12-$A136)&gt;(B$3*10^12-$A135),$A135,$A136))</f>
        <v>0</v>
      </c>
      <c r="C135">
        <f t="shared" si="18"/>
        <v>0</v>
      </c>
      <c r="D135">
        <f t="shared" si="18"/>
        <v>0</v>
      </c>
      <c r="E135">
        <f t="shared" si="19"/>
        <v>0</v>
      </c>
    </row>
    <row r="136" spans="1:5" x14ac:dyDescent="0.2">
      <c r="A136">
        <f t="shared" si="15"/>
        <v>33000000000</v>
      </c>
      <c r="B136">
        <f t="shared" si="20"/>
        <v>0</v>
      </c>
      <c r="C136">
        <f t="shared" si="18"/>
        <v>0</v>
      </c>
      <c r="D136">
        <f t="shared" si="18"/>
        <v>0</v>
      </c>
      <c r="E136">
        <f t="shared" si="19"/>
        <v>0</v>
      </c>
    </row>
    <row r="137" spans="1:5" x14ac:dyDescent="0.2">
      <c r="A137">
        <f t="shared" si="15"/>
        <v>39000000000</v>
      </c>
      <c r="B137">
        <f t="shared" si="20"/>
        <v>0</v>
      </c>
      <c r="C137">
        <f t="shared" si="18"/>
        <v>0</v>
      </c>
      <c r="D137">
        <f t="shared" si="18"/>
        <v>0</v>
      </c>
      <c r="E137">
        <f t="shared" si="19"/>
        <v>0</v>
      </c>
    </row>
    <row r="138" spans="1:5" x14ac:dyDescent="0.2">
      <c r="A138">
        <f t="shared" si="15"/>
        <v>47000000000</v>
      </c>
      <c r="B138">
        <f t="shared" si="20"/>
        <v>0</v>
      </c>
      <c r="C138">
        <f t="shared" si="18"/>
        <v>0</v>
      </c>
      <c r="D138">
        <f t="shared" si="18"/>
        <v>0</v>
      </c>
      <c r="E138">
        <f t="shared" si="19"/>
        <v>0</v>
      </c>
    </row>
    <row r="139" spans="1:5" x14ac:dyDescent="0.2">
      <c r="A139">
        <f t="shared" si="15"/>
        <v>56000000000</v>
      </c>
      <c r="B139">
        <f t="shared" si="20"/>
        <v>0</v>
      </c>
      <c r="C139">
        <f t="shared" si="18"/>
        <v>0</v>
      </c>
      <c r="D139">
        <f t="shared" si="18"/>
        <v>0</v>
      </c>
      <c r="E139">
        <f t="shared" si="19"/>
        <v>0</v>
      </c>
    </row>
    <row r="140" spans="1:5" x14ac:dyDescent="0.2">
      <c r="A140">
        <f t="shared" si="15"/>
        <v>68000000000</v>
      </c>
      <c r="B140">
        <f t="shared" si="20"/>
        <v>0</v>
      </c>
      <c r="C140">
        <f t="shared" si="18"/>
        <v>0</v>
      </c>
      <c r="D140">
        <f t="shared" si="18"/>
        <v>0</v>
      </c>
      <c r="E140">
        <f t="shared" si="19"/>
        <v>0</v>
      </c>
    </row>
    <row r="141" spans="1:5" x14ac:dyDescent="0.2">
      <c r="A141">
        <f t="shared" si="15"/>
        <v>82000000000</v>
      </c>
      <c r="B141">
        <f t="shared" si="20"/>
        <v>0</v>
      </c>
      <c r="C141">
        <f t="shared" si="18"/>
        <v>0</v>
      </c>
      <c r="D141">
        <f t="shared" si="18"/>
        <v>0</v>
      </c>
      <c r="E141">
        <f t="shared" si="19"/>
        <v>0</v>
      </c>
    </row>
    <row r="142" spans="1:5" x14ac:dyDescent="0.2">
      <c r="A142">
        <f t="shared" si="15"/>
        <v>100000000000</v>
      </c>
      <c r="B142">
        <f t="shared" si="20"/>
        <v>0</v>
      </c>
      <c r="C142">
        <f t="shared" si="18"/>
        <v>0</v>
      </c>
      <c r="D142">
        <f t="shared" si="18"/>
        <v>0</v>
      </c>
      <c r="E142">
        <f t="shared" si="19"/>
        <v>0</v>
      </c>
    </row>
    <row r="143" spans="1:5" x14ac:dyDescent="0.2">
      <c r="A143">
        <f t="shared" si="15"/>
        <v>120000000000</v>
      </c>
      <c r="B143">
        <f t="shared" si="20"/>
        <v>0</v>
      </c>
      <c r="C143">
        <f t="shared" si="18"/>
        <v>0</v>
      </c>
      <c r="D143">
        <f t="shared" si="18"/>
        <v>0</v>
      </c>
      <c r="E143">
        <f t="shared" si="19"/>
        <v>0</v>
      </c>
    </row>
    <row r="144" spans="1:5" x14ac:dyDescent="0.2">
      <c r="A144">
        <f t="shared" si="15"/>
        <v>150000000000</v>
      </c>
      <c r="B144">
        <f t="shared" si="20"/>
        <v>0</v>
      </c>
      <c r="C144">
        <f t="shared" si="18"/>
        <v>0</v>
      </c>
      <c r="D144">
        <f t="shared" si="18"/>
        <v>0</v>
      </c>
      <c r="E144">
        <f t="shared" si="19"/>
        <v>0</v>
      </c>
    </row>
    <row r="145" spans="1:5" x14ac:dyDescent="0.2">
      <c r="A145">
        <f t="shared" si="15"/>
        <v>180000000000</v>
      </c>
      <c r="B145">
        <f t="shared" si="20"/>
        <v>0</v>
      </c>
      <c r="C145">
        <f t="shared" si="18"/>
        <v>0</v>
      </c>
      <c r="D145">
        <f t="shared" si="18"/>
        <v>0</v>
      </c>
      <c r="E145">
        <f t="shared" si="19"/>
        <v>0</v>
      </c>
    </row>
    <row r="146" spans="1:5" x14ac:dyDescent="0.2">
      <c r="A146">
        <f t="shared" si="15"/>
        <v>220000000000</v>
      </c>
      <c r="B146">
        <f t="shared" si="20"/>
        <v>0</v>
      </c>
      <c r="C146">
        <f t="shared" si="18"/>
        <v>0</v>
      </c>
      <c r="D146">
        <f t="shared" si="18"/>
        <v>0</v>
      </c>
      <c r="E146">
        <f t="shared" si="19"/>
        <v>0</v>
      </c>
    </row>
    <row r="147" spans="1:5" x14ac:dyDescent="0.2">
      <c r="A147">
        <f t="shared" si="15"/>
        <v>270000000000</v>
      </c>
      <c r="B147">
        <f t="shared" si="20"/>
        <v>0</v>
      </c>
      <c r="C147">
        <f t="shared" si="18"/>
        <v>0</v>
      </c>
      <c r="D147">
        <f t="shared" si="18"/>
        <v>0</v>
      </c>
      <c r="E147">
        <f t="shared" si="19"/>
        <v>0</v>
      </c>
    </row>
    <row r="148" spans="1:5" x14ac:dyDescent="0.2">
      <c r="A148">
        <f t="shared" si="15"/>
        <v>330000000000</v>
      </c>
      <c r="B148">
        <f t="shared" si="20"/>
        <v>0</v>
      </c>
      <c r="C148">
        <f t="shared" si="18"/>
        <v>0</v>
      </c>
      <c r="D148">
        <f t="shared" si="18"/>
        <v>0</v>
      </c>
      <c r="E148">
        <f t="shared" si="19"/>
        <v>0</v>
      </c>
    </row>
    <row r="149" spans="1:5" x14ac:dyDescent="0.2">
      <c r="A149">
        <f t="shared" si="15"/>
        <v>390000000000</v>
      </c>
      <c r="B149">
        <f t="shared" si="20"/>
        <v>0</v>
      </c>
      <c r="C149">
        <f t="shared" si="18"/>
        <v>0</v>
      </c>
      <c r="D149">
        <f t="shared" si="18"/>
        <v>0</v>
      </c>
      <c r="E149">
        <f t="shared" si="19"/>
        <v>0</v>
      </c>
    </row>
    <row r="150" spans="1:5" x14ac:dyDescent="0.2">
      <c r="A150">
        <f t="shared" si="15"/>
        <v>470000000000</v>
      </c>
      <c r="B150">
        <f t="shared" si="20"/>
        <v>0</v>
      </c>
      <c r="C150">
        <f t="shared" si="18"/>
        <v>0</v>
      </c>
      <c r="D150">
        <f t="shared" si="18"/>
        <v>0</v>
      </c>
      <c r="E150">
        <f t="shared" si="19"/>
        <v>0</v>
      </c>
    </row>
    <row r="151" spans="1:5" x14ac:dyDescent="0.2">
      <c r="A151">
        <f t="shared" si="15"/>
        <v>560000000000</v>
      </c>
      <c r="B151">
        <f t="shared" si="20"/>
        <v>0</v>
      </c>
      <c r="C151">
        <f t="shared" si="18"/>
        <v>0</v>
      </c>
      <c r="D151">
        <f t="shared" si="18"/>
        <v>0</v>
      </c>
      <c r="E151">
        <f t="shared" si="19"/>
        <v>0</v>
      </c>
    </row>
    <row r="152" spans="1:5" x14ac:dyDescent="0.2">
      <c r="A152">
        <f t="shared" si="15"/>
        <v>680000000000</v>
      </c>
      <c r="B152">
        <f t="shared" si="20"/>
        <v>0</v>
      </c>
      <c r="C152">
        <f t="shared" si="18"/>
        <v>0</v>
      </c>
      <c r="D152">
        <f t="shared" si="18"/>
        <v>0</v>
      </c>
      <c r="E152">
        <f t="shared" si="19"/>
        <v>0</v>
      </c>
    </row>
    <row r="153" spans="1:5" x14ac:dyDescent="0.2">
      <c r="A153">
        <f t="shared" si="15"/>
        <v>820000000000</v>
      </c>
      <c r="B153">
        <f t="shared" si="20"/>
        <v>0</v>
      </c>
      <c r="C153">
        <f t="shared" si="18"/>
        <v>0</v>
      </c>
      <c r="D153">
        <f t="shared" si="18"/>
        <v>0</v>
      </c>
      <c r="E153">
        <f t="shared" si="19"/>
        <v>0</v>
      </c>
    </row>
    <row r="154" spans="1:5" x14ac:dyDescent="0.2">
      <c r="A154">
        <f t="shared" si="15"/>
        <v>1000000000000</v>
      </c>
      <c r="B154">
        <f t="shared" si="20"/>
        <v>0</v>
      </c>
      <c r="C154">
        <f t="shared" si="18"/>
        <v>0</v>
      </c>
      <c r="D154">
        <f t="shared" si="18"/>
        <v>0</v>
      </c>
      <c r="E154">
        <f t="shared" si="19"/>
        <v>0</v>
      </c>
    </row>
    <row r="155" spans="1:5" x14ac:dyDescent="0.2">
      <c r="A155">
        <f t="shared" si="15"/>
        <v>1200000000000</v>
      </c>
      <c r="B155">
        <f t="shared" si="20"/>
        <v>0</v>
      </c>
      <c r="C155">
        <f t="shared" si="18"/>
        <v>0</v>
      </c>
      <c r="D155">
        <f t="shared" si="18"/>
        <v>0</v>
      </c>
      <c r="E155">
        <f t="shared" si="19"/>
        <v>0</v>
      </c>
    </row>
    <row r="156" spans="1:5" x14ac:dyDescent="0.2">
      <c r="A156">
        <f t="shared" si="15"/>
        <v>1500000000000</v>
      </c>
      <c r="B156">
        <f t="shared" si="20"/>
        <v>0</v>
      </c>
      <c r="C156">
        <f t="shared" si="18"/>
        <v>0</v>
      </c>
      <c r="D156">
        <f t="shared" si="18"/>
        <v>0</v>
      </c>
      <c r="E156">
        <f t="shared" si="19"/>
        <v>0</v>
      </c>
    </row>
    <row r="157" spans="1:5" x14ac:dyDescent="0.2">
      <c r="A157">
        <f t="shared" si="15"/>
        <v>1800000000000</v>
      </c>
      <c r="B157">
        <f t="shared" si="20"/>
        <v>0</v>
      </c>
      <c r="C157">
        <f t="shared" si="18"/>
        <v>0</v>
      </c>
      <c r="D157">
        <f t="shared" si="18"/>
        <v>0</v>
      </c>
      <c r="E157">
        <f t="shared" si="19"/>
        <v>0</v>
      </c>
    </row>
    <row r="158" spans="1:5" x14ac:dyDescent="0.2">
      <c r="A158">
        <f t="shared" si="15"/>
        <v>2200000000000</v>
      </c>
      <c r="B158">
        <f t="shared" si="20"/>
        <v>0</v>
      </c>
      <c r="C158">
        <f t="shared" si="18"/>
        <v>0</v>
      </c>
      <c r="D158">
        <f t="shared" si="18"/>
        <v>0</v>
      </c>
      <c r="E158">
        <f t="shared" si="19"/>
        <v>0</v>
      </c>
    </row>
    <row r="159" spans="1:5" x14ac:dyDescent="0.2">
      <c r="A159" s="15">
        <f t="shared" si="15"/>
        <v>2700000000000</v>
      </c>
      <c r="B159">
        <f t="shared" si="20"/>
        <v>2700000000000</v>
      </c>
      <c r="C159">
        <f t="shared" si="18"/>
        <v>0</v>
      </c>
      <c r="D159">
        <f t="shared" si="18"/>
        <v>0</v>
      </c>
      <c r="E159">
        <f t="shared" si="19"/>
        <v>2700000000000</v>
      </c>
    </row>
  </sheetData>
  <phoneticPr fontId="6"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1:Q55"/>
  <sheetViews>
    <sheetView zoomScaleNormal="100" workbookViewId="0">
      <selection activeCell="J13" sqref="J13"/>
    </sheetView>
  </sheetViews>
  <sheetFormatPr defaultRowHeight="12.75" x14ac:dyDescent="0.2"/>
  <cols>
    <col min="1" max="1" width="9.5703125" style="115" customWidth="1"/>
    <col min="2" max="2" width="11.42578125" style="115" customWidth="1"/>
    <col min="3" max="3" width="13.42578125" style="115" customWidth="1"/>
    <col min="4" max="4" width="20.140625" style="115" customWidth="1"/>
    <col min="5" max="5" width="17.28515625" style="115" customWidth="1"/>
    <col min="6" max="6" width="13.5703125" style="115" customWidth="1"/>
    <col min="7" max="7" width="16.140625" style="115" customWidth="1"/>
    <col min="8" max="8" width="18.140625" style="115" customWidth="1"/>
    <col min="9" max="9" width="10.85546875" style="115" customWidth="1"/>
    <col min="10" max="10" width="15.85546875" style="115" customWidth="1"/>
    <col min="11" max="11" width="11.85546875" style="473" customWidth="1"/>
    <col min="12" max="12" width="7.85546875" style="472" customWidth="1"/>
    <col min="13" max="13" width="11.7109375" style="115" customWidth="1"/>
    <col min="14" max="254" width="9.140625" style="115"/>
    <col min="255" max="255" width="8.7109375" style="115" bestFit="1" customWidth="1"/>
    <col min="256" max="256" width="13.28515625" style="115" customWidth="1"/>
    <col min="257" max="257" width="16.140625" style="115" bestFit="1" customWidth="1"/>
    <col min="258" max="258" width="23.5703125" style="115" customWidth="1"/>
    <col min="259" max="259" width="17.28515625" style="115" customWidth="1"/>
    <col min="260" max="260" width="20.5703125" style="115" bestFit="1" customWidth="1"/>
    <col min="261" max="261" width="17.140625" style="115" customWidth="1"/>
    <col min="262" max="262" width="21.85546875" style="115" bestFit="1" customWidth="1"/>
    <col min="263" max="263" width="17.140625" style="115" bestFit="1" customWidth="1"/>
    <col min="264" max="264" width="18.140625" style="115" bestFit="1" customWidth="1"/>
    <col min="265" max="265" width="26.42578125" style="115" customWidth="1"/>
    <col min="266" max="510" width="9.140625" style="115"/>
    <col min="511" max="511" width="8.7109375" style="115" bestFit="1" customWidth="1"/>
    <col min="512" max="512" width="13.28515625" style="115" customWidth="1"/>
    <col min="513" max="513" width="16.140625" style="115" bestFit="1" customWidth="1"/>
    <col min="514" max="514" width="23.5703125" style="115" customWidth="1"/>
    <col min="515" max="515" width="17.28515625" style="115" customWidth="1"/>
    <col min="516" max="516" width="20.5703125" style="115" bestFit="1" customWidth="1"/>
    <col min="517" max="517" width="17.140625" style="115" customWidth="1"/>
    <col min="518" max="518" width="21.85546875" style="115" bestFit="1" customWidth="1"/>
    <col min="519" max="519" width="17.140625" style="115" bestFit="1" customWidth="1"/>
    <col min="520" max="520" width="18.140625" style="115" bestFit="1" customWidth="1"/>
    <col min="521" max="521" width="26.42578125" style="115" customWidth="1"/>
    <col min="522" max="766" width="9.140625" style="115"/>
    <col min="767" max="767" width="8.7109375" style="115" bestFit="1" customWidth="1"/>
    <col min="768" max="768" width="13.28515625" style="115" customWidth="1"/>
    <col min="769" max="769" width="16.140625" style="115" bestFit="1" customWidth="1"/>
    <col min="770" max="770" width="23.5703125" style="115" customWidth="1"/>
    <col min="771" max="771" width="17.28515625" style="115" customWidth="1"/>
    <col min="772" max="772" width="20.5703125" style="115" bestFit="1" customWidth="1"/>
    <col min="773" max="773" width="17.140625" style="115" customWidth="1"/>
    <col min="774" max="774" width="21.85546875" style="115" bestFit="1" customWidth="1"/>
    <col min="775" max="775" width="17.140625" style="115" bestFit="1" customWidth="1"/>
    <col min="776" max="776" width="18.140625" style="115" bestFit="1" customWidth="1"/>
    <col min="777" max="777" width="26.42578125" style="115" customWidth="1"/>
    <col min="778" max="1022" width="9.140625" style="115"/>
    <col min="1023" max="1023" width="8.7109375" style="115" bestFit="1" customWidth="1"/>
    <col min="1024" max="1024" width="13.28515625" style="115" customWidth="1"/>
    <col min="1025" max="1025" width="16.140625" style="115" bestFit="1" customWidth="1"/>
    <col min="1026" max="1026" width="23.5703125" style="115" customWidth="1"/>
    <col min="1027" max="1027" width="17.28515625" style="115" customWidth="1"/>
    <col min="1028" max="1028" width="20.5703125" style="115" bestFit="1" customWidth="1"/>
    <col min="1029" max="1029" width="17.140625" style="115" customWidth="1"/>
    <col min="1030" max="1030" width="21.85546875" style="115" bestFit="1" customWidth="1"/>
    <col min="1031" max="1031" width="17.140625" style="115" bestFit="1" customWidth="1"/>
    <col min="1032" max="1032" width="18.140625" style="115" bestFit="1" customWidth="1"/>
    <col min="1033" max="1033" width="26.42578125" style="115" customWidth="1"/>
    <col min="1034" max="1278" width="9.140625" style="115"/>
    <col min="1279" max="1279" width="8.7109375" style="115" bestFit="1" customWidth="1"/>
    <col min="1280" max="1280" width="13.28515625" style="115" customWidth="1"/>
    <col min="1281" max="1281" width="16.140625" style="115" bestFit="1" customWidth="1"/>
    <col min="1282" max="1282" width="23.5703125" style="115" customWidth="1"/>
    <col min="1283" max="1283" width="17.28515625" style="115" customWidth="1"/>
    <col min="1284" max="1284" width="20.5703125" style="115" bestFit="1" customWidth="1"/>
    <col min="1285" max="1285" width="17.140625" style="115" customWidth="1"/>
    <col min="1286" max="1286" width="21.85546875" style="115" bestFit="1" customWidth="1"/>
    <col min="1287" max="1287" width="17.140625" style="115" bestFit="1" customWidth="1"/>
    <col min="1288" max="1288" width="18.140625" style="115" bestFit="1" customWidth="1"/>
    <col min="1289" max="1289" width="26.42578125" style="115" customWidth="1"/>
    <col min="1290" max="1534" width="9.140625" style="115"/>
    <col min="1535" max="1535" width="8.7109375" style="115" bestFit="1" customWidth="1"/>
    <col min="1536" max="1536" width="13.28515625" style="115" customWidth="1"/>
    <col min="1537" max="1537" width="16.140625" style="115" bestFit="1" customWidth="1"/>
    <col min="1538" max="1538" width="23.5703125" style="115" customWidth="1"/>
    <col min="1539" max="1539" width="17.28515625" style="115" customWidth="1"/>
    <col min="1540" max="1540" width="20.5703125" style="115" bestFit="1" customWidth="1"/>
    <col min="1541" max="1541" width="17.140625" style="115" customWidth="1"/>
    <col min="1542" max="1542" width="21.85546875" style="115" bestFit="1" customWidth="1"/>
    <col min="1543" max="1543" width="17.140625" style="115" bestFit="1" customWidth="1"/>
    <col min="1544" max="1544" width="18.140625" style="115" bestFit="1" customWidth="1"/>
    <col min="1545" max="1545" width="26.42578125" style="115" customWidth="1"/>
    <col min="1546" max="1790" width="9.140625" style="115"/>
    <col min="1791" max="1791" width="8.7109375" style="115" bestFit="1" customWidth="1"/>
    <col min="1792" max="1792" width="13.28515625" style="115" customWidth="1"/>
    <col min="1793" max="1793" width="16.140625" style="115" bestFit="1" customWidth="1"/>
    <col min="1794" max="1794" width="23.5703125" style="115" customWidth="1"/>
    <col min="1795" max="1795" width="17.28515625" style="115" customWidth="1"/>
    <col min="1796" max="1796" width="20.5703125" style="115" bestFit="1" customWidth="1"/>
    <col min="1797" max="1797" width="17.140625" style="115" customWidth="1"/>
    <col min="1798" max="1798" width="21.85546875" style="115" bestFit="1" customWidth="1"/>
    <col min="1799" max="1799" width="17.140625" style="115" bestFit="1" customWidth="1"/>
    <col min="1800" max="1800" width="18.140625" style="115" bestFit="1" customWidth="1"/>
    <col min="1801" max="1801" width="26.42578125" style="115" customWidth="1"/>
    <col min="1802" max="2046" width="9.140625" style="115"/>
    <col min="2047" max="2047" width="8.7109375" style="115" bestFit="1" customWidth="1"/>
    <col min="2048" max="2048" width="13.28515625" style="115" customWidth="1"/>
    <col min="2049" max="2049" width="16.140625" style="115" bestFit="1" customWidth="1"/>
    <col min="2050" max="2050" width="23.5703125" style="115" customWidth="1"/>
    <col min="2051" max="2051" width="17.28515625" style="115" customWidth="1"/>
    <col min="2052" max="2052" width="20.5703125" style="115" bestFit="1" customWidth="1"/>
    <col min="2053" max="2053" width="17.140625" style="115" customWidth="1"/>
    <col min="2054" max="2054" width="21.85546875" style="115" bestFit="1" customWidth="1"/>
    <col min="2055" max="2055" width="17.140625" style="115" bestFit="1" customWidth="1"/>
    <col min="2056" max="2056" width="18.140625" style="115" bestFit="1" customWidth="1"/>
    <col min="2057" max="2057" width="26.42578125" style="115" customWidth="1"/>
    <col min="2058" max="2302" width="9.140625" style="115"/>
    <col min="2303" max="2303" width="8.7109375" style="115" bestFit="1" customWidth="1"/>
    <col min="2304" max="2304" width="13.28515625" style="115" customWidth="1"/>
    <col min="2305" max="2305" width="16.140625" style="115" bestFit="1" customWidth="1"/>
    <col min="2306" max="2306" width="23.5703125" style="115" customWidth="1"/>
    <col min="2307" max="2307" width="17.28515625" style="115" customWidth="1"/>
    <col min="2308" max="2308" width="20.5703125" style="115" bestFit="1" customWidth="1"/>
    <col min="2309" max="2309" width="17.140625" style="115" customWidth="1"/>
    <col min="2310" max="2310" width="21.85546875" style="115" bestFit="1" customWidth="1"/>
    <col min="2311" max="2311" width="17.140625" style="115" bestFit="1" customWidth="1"/>
    <col min="2312" max="2312" width="18.140625" style="115" bestFit="1" customWidth="1"/>
    <col min="2313" max="2313" width="26.42578125" style="115" customWidth="1"/>
    <col min="2314" max="2558" width="9.140625" style="115"/>
    <col min="2559" max="2559" width="8.7109375" style="115" bestFit="1" customWidth="1"/>
    <col min="2560" max="2560" width="13.28515625" style="115" customWidth="1"/>
    <col min="2561" max="2561" width="16.140625" style="115" bestFit="1" customWidth="1"/>
    <col min="2562" max="2562" width="23.5703125" style="115" customWidth="1"/>
    <col min="2563" max="2563" width="17.28515625" style="115" customWidth="1"/>
    <col min="2564" max="2564" width="20.5703125" style="115" bestFit="1" customWidth="1"/>
    <col min="2565" max="2565" width="17.140625" style="115" customWidth="1"/>
    <col min="2566" max="2566" width="21.85546875" style="115" bestFit="1" customWidth="1"/>
    <col min="2567" max="2567" width="17.140625" style="115" bestFit="1" customWidth="1"/>
    <col min="2568" max="2568" width="18.140625" style="115" bestFit="1" customWidth="1"/>
    <col min="2569" max="2569" width="26.42578125" style="115" customWidth="1"/>
    <col min="2570" max="2814" width="9.140625" style="115"/>
    <col min="2815" max="2815" width="8.7109375" style="115" bestFit="1" customWidth="1"/>
    <col min="2816" max="2816" width="13.28515625" style="115" customWidth="1"/>
    <col min="2817" max="2817" width="16.140625" style="115" bestFit="1" customWidth="1"/>
    <col min="2818" max="2818" width="23.5703125" style="115" customWidth="1"/>
    <col min="2819" max="2819" width="17.28515625" style="115" customWidth="1"/>
    <col min="2820" max="2820" width="20.5703125" style="115" bestFit="1" customWidth="1"/>
    <col min="2821" max="2821" width="17.140625" style="115" customWidth="1"/>
    <col min="2822" max="2822" width="21.85546875" style="115" bestFit="1" customWidth="1"/>
    <col min="2823" max="2823" width="17.140625" style="115" bestFit="1" customWidth="1"/>
    <col min="2824" max="2824" width="18.140625" style="115" bestFit="1" customWidth="1"/>
    <col min="2825" max="2825" width="26.42578125" style="115" customWidth="1"/>
    <col min="2826" max="3070" width="9.140625" style="115"/>
    <col min="3071" max="3071" width="8.7109375" style="115" bestFit="1" customWidth="1"/>
    <col min="3072" max="3072" width="13.28515625" style="115" customWidth="1"/>
    <col min="3073" max="3073" width="16.140625" style="115" bestFit="1" customWidth="1"/>
    <col min="3074" max="3074" width="23.5703125" style="115" customWidth="1"/>
    <col min="3075" max="3075" width="17.28515625" style="115" customWidth="1"/>
    <col min="3076" max="3076" width="20.5703125" style="115" bestFit="1" customWidth="1"/>
    <col min="3077" max="3077" width="17.140625" style="115" customWidth="1"/>
    <col min="3078" max="3078" width="21.85546875" style="115" bestFit="1" customWidth="1"/>
    <col min="3079" max="3079" width="17.140625" style="115" bestFit="1" customWidth="1"/>
    <col min="3080" max="3080" width="18.140625" style="115" bestFit="1" customWidth="1"/>
    <col min="3081" max="3081" width="26.42578125" style="115" customWidth="1"/>
    <col min="3082" max="3326" width="9.140625" style="115"/>
    <col min="3327" max="3327" width="8.7109375" style="115" bestFit="1" customWidth="1"/>
    <col min="3328" max="3328" width="13.28515625" style="115" customWidth="1"/>
    <col min="3329" max="3329" width="16.140625" style="115" bestFit="1" customWidth="1"/>
    <col min="3330" max="3330" width="23.5703125" style="115" customWidth="1"/>
    <col min="3331" max="3331" width="17.28515625" style="115" customWidth="1"/>
    <col min="3332" max="3332" width="20.5703125" style="115" bestFit="1" customWidth="1"/>
    <col min="3333" max="3333" width="17.140625" style="115" customWidth="1"/>
    <col min="3334" max="3334" width="21.85546875" style="115" bestFit="1" customWidth="1"/>
    <col min="3335" max="3335" width="17.140625" style="115" bestFit="1" customWidth="1"/>
    <col min="3336" max="3336" width="18.140625" style="115" bestFit="1" customWidth="1"/>
    <col min="3337" max="3337" width="26.42578125" style="115" customWidth="1"/>
    <col min="3338" max="3582" width="9.140625" style="115"/>
    <col min="3583" max="3583" width="8.7109375" style="115" bestFit="1" customWidth="1"/>
    <col min="3584" max="3584" width="13.28515625" style="115" customWidth="1"/>
    <col min="3585" max="3585" width="16.140625" style="115" bestFit="1" customWidth="1"/>
    <col min="3586" max="3586" width="23.5703125" style="115" customWidth="1"/>
    <col min="3587" max="3587" width="17.28515625" style="115" customWidth="1"/>
    <col min="3588" max="3588" width="20.5703125" style="115" bestFit="1" customWidth="1"/>
    <col min="3589" max="3589" width="17.140625" style="115" customWidth="1"/>
    <col min="3590" max="3590" width="21.85546875" style="115" bestFit="1" customWidth="1"/>
    <col min="3591" max="3591" width="17.140625" style="115" bestFit="1" customWidth="1"/>
    <col min="3592" max="3592" width="18.140625" style="115" bestFit="1" customWidth="1"/>
    <col min="3593" max="3593" width="26.42578125" style="115" customWidth="1"/>
    <col min="3594" max="3838" width="9.140625" style="115"/>
    <col min="3839" max="3839" width="8.7109375" style="115" bestFit="1" customWidth="1"/>
    <col min="3840" max="3840" width="13.28515625" style="115" customWidth="1"/>
    <col min="3841" max="3841" width="16.140625" style="115" bestFit="1" customWidth="1"/>
    <col min="3842" max="3842" width="23.5703125" style="115" customWidth="1"/>
    <col min="3843" max="3843" width="17.28515625" style="115" customWidth="1"/>
    <col min="3844" max="3844" width="20.5703125" style="115" bestFit="1" customWidth="1"/>
    <col min="3845" max="3845" width="17.140625" style="115" customWidth="1"/>
    <col min="3846" max="3846" width="21.85546875" style="115" bestFit="1" customWidth="1"/>
    <col min="3847" max="3847" width="17.140625" style="115" bestFit="1" customWidth="1"/>
    <col min="3848" max="3848" width="18.140625" style="115" bestFit="1" customWidth="1"/>
    <col min="3849" max="3849" width="26.42578125" style="115" customWidth="1"/>
    <col min="3850" max="4094" width="9.140625" style="115"/>
    <col min="4095" max="4095" width="8.7109375" style="115" bestFit="1" customWidth="1"/>
    <col min="4096" max="4096" width="13.28515625" style="115" customWidth="1"/>
    <col min="4097" max="4097" width="16.140625" style="115" bestFit="1" customWidth="1"/>
    <col min="4098" max="4098" width="23.5703125" style="115" customWidth="1"/>
    <col min="4099" max="4099" width="17.28515625" style="115" customWidth="1"/>
    <col min="4100" max="4100" width="20.5703125" style="115" bestFit="1" customWidth="1"/>
    <col min="4101" max="4101" width="17.140625" style="115" customWidth="1"/>
    <col min="4102" max="4102" width="21.85546875" style="115" bestFit="1" customWidth="1"/>
    <col min="4103" max="4103" width="17.140625" style="115" bestFit="1" customWidth="1"/>
    <col min="4104" max="4104" width="18.140625" style="115" bestFit="1" customWidth="1"/>
    <col min="4105" max="4105" width="26.42578125" style="115" customWidth="1"/>
    <col min="4106" max="4350" width="9.140625" style="115"/>
    <col min="4351" max="4351" width="8.7109375" style="115" bestFit="1" customWidth="1"/>
    <col min="4352" max="4352" width="13.28515625" style="115" customWidth="1"/>
    <col min="4353" max="4353" width="16.140625" style="115" bestFit="1" customWidth="1"/>
    <col min="4354" max="4354" width="23.5703125" style="115" customWidth="1"/>
    <col min="4355" max="4355" width="17.28515625" style="115" customWidth="1"/>
    <col min="4356" max="4356" width="20.5703125" style="115" bestFit="1" customWidth="1"/>
    <col min="4357" max="4357" width="17.140625" style="115" customWidth="1"/>
    <col min="4358" max="4358" width="21.85546875" style="115" bestFit="1" customWidth="1"/>
    <col min="4359" max="4359" width="17.140625" style="115" bestFit="1" customWidth="1"/>
    <col min="4360" max="4360" width="18.140625" style="115" bestFit="1" customWidth="1"/>
    <col min="4361" max="4361" width="26.42578125" style="115" customWidth="1"/>
    <col min="4362" max="4606" width="9.140625" style="115"/>
    <col min="4607" max="4607" width="8.7109375" style="115" bestFit="1" customWidth="1"/>
    <col min="4608" max="4608" width="13.28515625" style="115" customWidth="1"/>
    <col min="4609" max="4609" width="16.140625" style="115" bestFit="1" customWidth="1"/>
    <col min="4610" max="4610" width="23.5703125" style="115" customWidth="1"/>
    <col min="4611" max="4611" width="17.28515625" style="115" customWidth="1"/>
    <col min="4612" max="4612" width="20.5703125" style="115" bestFit="1" customWidth="1"/>
    <col min="4613" max="4613" width="17.140625" style="115" customWidth="1"/>
    <col min="4614" max="4614" width="21.85546875" style="115" bestFit="1" customWidth="1"/>
    <col min="4615" max="4615" width="17.140625" style="115" bestFit="1" customWidth="1"/>
    <col min="4616" max="4616" width="18.140625" style="115" bestFit="1" customWidth="1"/>
    <col min="4617" max="4617" width="26.42578125" style="115" customWidth="1"/>
    <col min="4618" max="4862" width="9.140625" style="115"/>
    <col min="4863" max="4863" width="8.7109375" style="115" bestFit="1" customWidth="1"/>
    <col min="4864" max="4864" width="13.28515625" style="115" customWidth="1"/>
    <col min="4865" max="4865" width="16.140625" style="115" bestFit="1" customWidth="1"/>
    <col min="4866" max="4866" width="23.5703125" style="115" customWidth="1"/>
    <col min="4867" max="4867" width="17.28515625" style="115" customWidth="1"/>
    <col min="4868" max="4868" width="20.5703125" style="115" bestFit="1" customWidth="1"/>
    <col min="4869" max="4869" width="17.140625" style="115" customWidth="1"/>
    <col min="4870" max="4870" width="21.85546875" style="115" bestFit="1" customWidth="1"/>
    <col min="4871" max="4871" width="17.140625" style="115" bestFit="1" customWidth="1"/>
    <col min="4872" max="4872" width="18.140625" style="115" bestFit="1" customWidth="1"/>
    <col min="4873" max="4873" width="26.42578125" style="115" customWidth="1"/>
    <col min="4874" max="5118" width="9.140625" style="115"/>
    <col min="5119" max="5119" width="8.7109375" style="115" bestFit="1" customWidth="1"/>
    <col min="5120" max="5120" width="13.28515625" style="115" customWidth="1"/>
    <col min="5121" max="5121" width="16.140625" style="115" bestFit="1" customWidth="1"/>
    <col min="5122" max="5122" width="23.5703125" style="115" customWidth="1"/>
    <col min="5123" max="5123" width="17.28515625" style="115" customWidth="1"/>
    <col min="5124" max="5124" width="20.5703125" style="115" bestFit="1" customWidth="1"/>
    <col min="5125" max="5125" width="17.140625" style="115" customWidth="1"/>
    <col min="5126" max="5126" width="21.85546875" style="115" bestFit="1" customWidth="1"/>
    <col min="5127" max="5127" width="17.140625" style="115" bestFit="1" customWidth="1"/>
    <col min="5128" max="5128" width="18.140625" style="115" bestFit="1" customWidth="1"/>
    <col min="5129" max="5129" width="26.42578125" style="115" customWidth="1"/>
    <col min="5130" max="5374" width="9.140625" style="115"/>
    <col min="5375" max="5375" width="8.7109375" style="115" bestFit="1" customWidth="1"/>
    <col min="5376" max="5376" width="13.28515625" style="115" customWidth="1"/>
    <col min="5377" max="5377" width="16.140625" style="115" bestFit="1" customWidth="1"/>
    <col min="5378" max="5378" width="23.5703125" style="115" customWidth="1"/>
    <col min="5379" max="5379" width="17.28515625" style="115" customWidth="1"/>
    <col min="5380" max="5380" width="20.5703125" style="115" bestFit="1" customWidth="1"/>
    <col min="5381" max="5381" width="17.140625" style="115" customWidth="1"/>
    <col min="5382" max="5382" width="21.85546875" style="115" bestFit="1" customWidth="1"/>
    <col min="5383" max="5383" width="17.140625" style="115" bestFit="1" customWidth="1"/>
    <col min="5384" max="5384" width="18.140625" style="115" bestFit="1" customWidth="1"/>
    <col min="5385" max="5385" width="26.42578125" style="115" customWidth="1"/>
    <col min="5386" max="5630" width="9.140625" style="115"/>
    <col min="5631" max="5631" width="8.7109375" style="115" bestFit="1" customWidth="1"/>
    <col min="5632" max="5632" width="13.28515625" style="115" customWidth="1"/>
    <col min="5633" max="5633" width="16.140625" style="115" bestFit="1" customWidth="1"/>
    <col min="5634" max="5634" width="23.5703125" style="115" customWidth="1"/>
    <col min="5635" max="5635" width="17.28515625" style="115" customWidth="1"/>
    <col min="5636" max="5636" width="20.5703125" style="115" bestFit="1" customWidth="1"/>
    <col min="5637" max="5637" width="17.140625" style="115" customWidth="1"/>
    <col min="5638" max="5638" width="21.85546875" style="115" bestFit="1" customWidth="1"/>
    <col min="5639" max="5639" width="17.140625" style="115" bestFit="1" customWidth="1"/>
    <col min="5640" max="5640" width="18.140625" style="115" bestFit="1" customWidth="1"/>
    <col min="5641" max="5641" width="26.42578125" style="115" customWidth="1"/>
    <col min="5642" max="5886" width="9.140625" style="115"/>
    <col min="5887" max="5887" width="8.7109375" style="115" bestFit="1" customWidth="1"/>
    <col min="5888" max="5888" width="13.28515625" style="115" customWidth="1"/>
    <col min="5889" max="5889" width="16.140625" style="115" bestFit="1" customWidth="1"/>
    <col min="5890" max="5890" width="23.5703125" style="115" customWidth="1"/>
    <col min="5891" max="5891" width="17.28515625" style="115" customWidth="1"/>
    <col min="5892" max="5892" width="20.5703125" style="115" bestFit="1" customWidth="1"/>
    <col min="5893" max="5893" width="17.140625" style="115" customWidth="1"/>
    <col min="5894" max="5894" width="21.85546875" style="115" bestFit="1" customWidth="1"/>
    <col min="5895" max="5895" width="17.140625" style="115" bestFit="1" customWidth="1"/>
    <col min="5896" max="5896" width="18.140625" style="115" bestFit="1" customWidth="1"/>
    <col min="5897" max="5897" width="26.42578125" style="115" customWidth="1"/>
    <col min="5898" max="6142" width="9.140625" style="115"/>
    <col min="6143" max="6143" width="8.7109375" style="115" bestFit="1" customWidth="1"/>
    <col min="6144" max="6144" width="13.28515625" style="115" customWidth="1"/>
    <col min="6145" max="6145" width="16.140625" style="115" bestFit="1" customWidth="1"/>
    <col min="6146" max="6146" width="23.5703125" style="115" customWidth="1"/>
    <col min="6147" max="6147" width="17.28515625" style="115" customWidth="1"/>
    <col min="6148" max="6148" width="20.5703125" style="115" bestFit="1" customWidth="1"/>
    <col min="6149" max="6149" width="17.140625" style="115" customWidth="1"/>
    <col min="6150" max="6150" width="21.85546875" style="115" bestFit="1" customWidth="1"/>
    <col min="6151" max="6151" width="17.140625" style="115" bestFit="1" customWidth="1"/>
    <col min="6152" max="6152" width="18.140625" style="115" bestFit="1" customWidth="1"/>
    <col min="6153" max="6153" width="26.42578125" style="115" customWidth="1"/>
    <col min="6154" max="6398" width="9.140625" style="115"/>
    <col min="6399" max="6399" width="8.7109375" style="115" bestFit="1" customWidth="1"/>
    <col min="6400" max="6400" width="13.28515625" style="115" customWidth="1"/>
    <col min="6401" max="6401" width="16.140625" style="115" bestFit="1" customWidth="1"/>
    <col min="6402" max="6402" width="23.5703125" style="115" customWidth="1"/>
    <col min="6403" max="6403" width="17.28515625" style="115" customWidth="1"/>
    <col min="6404" max="6404" width="20.5703125" style="115" bestFit="1" customWidth="1"/>
    <col min="6405" max="6405" width="17.140625" style="115" customWidth="1"/>
    <col min="6406" max="6406" width="21.85546875" style="115" bestFit="1" customWidth="1"/>
    <col min="6407" max="6407" width="17.140625" style="115" bestFit="1" customWidth="1"/>
    <col min="6408" max="6408" width="18.140625" style="115" bestFit="1" customWidth="1"/>
    <col min="6409" max="6409" width="26.42578125" style="115" customWidth="1"/>
    <col min="6410" max="6654" width="9.140625" style="115"/>
    <col min="6655" max="6655" width="8.7109375" style="115" bestFit="1" customWidth="1"/>
    <col min="6656" max="6656" width="13.28515625" style="115" customWidth="1"/>
    <col min="6657" max="6657" width="16.140625" style="115" bestFit="1" customWidth="1"/>
    <col min="6658" max="6658" width="23.5703125" style="115" customWidth="1"/>
    <col min="6659" max="6659" width="17.28515625" style="115" customWidth="1"/>
    <col min="6660" max="6660" width="20.5703125" style="115" bestFit="1" customWidth="1"/>
    <col min="6661" max="6661" width="17.140625" style="115" customWidth="1"/>
    <col min="6662" max="6662" width="21.85546875" style="115" bestFit="1" customWidth="1"/>
    <col min="6663" max="6663" width="17.140625" style="115" bestFit="1" customWidth="1"/>
    <col min="6664" max="6664" width="18.140625" style="115" bestFit="1" customWidth="1"/>
    <col min="6665" max="6665" width="26.42578125" style="115" customWidth="1"/>
    <col min="6666" max="6910" width="9.140625" style="115"/>
    <col min="6911" max="6911" width="8.7109375" style="115" bestFit="1" customWidth="1"/>
    <col min="6912" max="6912" width="13.28515625" style="115" customWidth="1"/>
    <col min="6913" max="6913" width="16.140625" style="115" bestFit="1" customWidth="1"/>
    <col min="6914" max="6914" width="23.5703125" style="115" customWidth="1"/>
    <col min="6915" max="6915" width="17.28515625" style="115" customWidth="1"/>
    <col min="6916" max="6916" width="20.5703125" style="115" bestFit="1" customWidth="1"/>
    <col min="6917" max="6917" width="17.140625" style="115" customWidth="1"/>
    <col min="6918" max="6918" width="21.85546875" style="115" bestFit="1" customWidth="1"/>
    <col min="6919" max="6919" width="17.140625" style="115" bestFit="1" customWidth="1"/>
    <col min="6920" max="6920" width="18.140625" style="115" bestFit="1" customWidth="1"/>
    <col min="6921" max="6921" width="26.42578125" style="115" customWidth="1"/>
    <col min="6922" max="7166" width="9.140625" style="115"/>
    <col min="7167" max="7167" width="8.7109375" style="115" bestFit="1" customWidth="1"/>
    <col min="7168" max="7168" width="13.28515625" style="115" customWidth="1"/>
    <col min="7169" max="7169" width="16.140625" style="115" bestFit="1" customWidth="1"/>
    <col min="7170" max="7170" width="23.5703125" style="115" customWidth="1"/>
    <col min="7171" max="7171" width="17.28515625" style="115" customWidth="1"/>
    <col min="7172" max="7172" width="20.5703125" style="115" bestFit="1" customWidth="1"/>
    <col min="7173" max="7173" width="17.140625" style="115" customWidth="1"/>
    <col min="7174" max="7174" width="21.85546875" style="115" bestFit="1" customWidth="1"/>
    <col min="7175" max="7175" width="17.140625" style="115" bestFit="1" customWidth="1"/>
    <col min="7176" max="7176" width="18.140625" style="115" bestFit="1" customWidth="1"/>
    <col min="7177" max="7177" width="26.42578125" style="115" customWidth="1"/>
    <col min="7178" max="7422" width="9.140625" style="115"/>
    <col min="7423" max="7423" width="8.7109375" style="115" bestFit="1" customWidth="1"/>
    <col min="7424" max="7424" width="13.28515625" style="115" customWidth="1"/>
    <col min="7425" max="7425" width="16.140625" style="115" bestFit="1" customWidth="1"/>
    <col min="7426" max="7426" width="23.5703125" style="115" customWidth="1"/>
    <col min="7427" max="7427" width="17.28515625" style="115" customWidth="1"/>
    <col min="7428" max="7428" width="20.5703125" style="115" bestFit="1" customWidth="1"/>
    <col min="7429" max="7429" width="17.140625" style="115" customWidth="1"/>
    <col min="7430" max="7430" width="21.85546875" style="115" bestFit="1" customWidth="1"/>
    <col min="7431" max="7431" width="17.140625" style="115" bestFit="1" customWidth="1"/>
    <col min="7432" max="7432" width="18.140625" style="115" bestFit="1" customWidth="1"/>
    <col min="7433" max="7433" width="26.42578125" style="115" customWidth="1"/>
    <col min="7434" max="7678" width="9.140625" style="115"/>
    <col min="7679" max="7679" width="8.7109375" style="115" bestFit="1" customWidth="1"/>
    <col min="7680" max="7680" width="13.28515625" style="115" customWidth="1"/>
    <col min="7681" max="7681" width="16.140625" style="115" bestFit="1" customWidth="1"/>
    <col min="7682" max="7682" width="23.5703125" style="115" customWidth="1"/>
    <col min="7683" max="7683" width="17.28515625" style="115" customWidth="1"/>
    <col min="7684" max="7684" width="20.5703125" style="115" bestFit="1" customWidth="1"/>
    <col min="7685" max="7685" width="17.140625" style="115" customWidth="1"/>
    <col min="7686" max="7686" width="21.85546875" style="115" bestFit="1" customWidth="1"/>
    <col min="7687" max="7687" width="17.140625" style="115" bestFit="1" customWidth="1"/>
    <col min="7688" max="7688" width="18.140625" style="115" bestFit="1" customWidth="1"/>
    <col min="7689" max="7689" width="26.42578125" style="115" customWidth="1"/>
    <col min="7690" max="7934" width="9.140625" style="115"/>
    <col min="7935" max="7935" width="8.7109375" style="115" bestFit="1" customWidth="1"/>
    <col min="7936" max="7936" width="13.28515625" style="115" customWidth="1"/>
    <col min="7937" max="7937" width="16.140625" style="115" bestFit="1" customWidth="1"/>
    <col min="7938" max="7938" width="23.5703125" style="115" customWidth="1"/>
    <col min="7939" max="7939" width="17.28515625" style="115" customWidth="1"/>
    <col min="7940" max="7940" width="20.5703125" style="115" bestFit="1" customWidth="1"/>
    <col min="7941" max="7941" width="17.140625" style="115" customWidth="1"/>
    <col min="7942" max="7942" width="21.85546875" style="115" bestFit="1" customWidth="1"/>
    <col min="7943" max="7943" width="17.140625" style="115" bestFit="1" customWidth="1"/>
    <col min="7944" max="7944" width="18.140625" style="115" bestFit="1" customWidth="1"/>
    <col min="7945" max="7945" width="26.42578125" style="115" customWidth="1"/>
    <col min="7946" max="8190" width="9.140625" style="115"/>
    <col min="8191" max="8191" width="8.7109375" style="115" bestFit="1" customWidth="1"/>
    <col min="8192" max="8192" width="13.28515625" style="115" customWidth="1"/>
    <col min="8193" max="8193" width="16.140625" style="115" bestFit="1" customWidth="1"/>
    <col min="8194" max="8194" width="23.5703125" style="115" customWidth="1"/>
    <col min="8195" max="8195" width="17.28515625" style="115" customWidth="1"/>
    <col min="8196" max="8196" width="20.5703125" style="115" bestFit="1" customWidth="1"/>
    <col min="8197" max="8197" width="17.140625" style="115" customWidth="1"/>
    <col min="8198" max="8198" width="21.85546875" style="115" bestFit="1" customWidth="1"/>
    <col min="8199" max="8199" width="17.140625" style="115" bestFit="1" customWidth="1"/>
    <col min="8200" max="8200" width="18.140625" style="115" bestFit="1" customWidth="1"/>
    <col min="8201" max="8201" width="26.42578125" style="115" customWidth="1"/>
    <col min="8202" max="8446" width="9.140625" style="115"/>
    <col min="8447" max="8447" width="8.7109375" style="115" bestFit="1" customWidth="1"/>
    <col min="8448" max="8448" width="13.28515625" style="115" customWidth="1"/>
    <col min="8449" max="8449" width="16.140625" style="115" bestFit="1" customWidth="1"/>
    <col min="8450" max="8450" width="23.5703125" style="115" customWidth="1"/>
    <col min="8451" max="8451" width="17.28515625" style="115" customWidth="1"/>
    <col min="8452" max="8452" width="20.5703125" style="115" bestFit="1" customWidth="1"/>
    <col min="8453" max="8453" width="17.140625" style="115" customWidth="1"/>
    <col min="8454" max="8454" width="21.85546875" style="115" bestFit="1" customWidth="1"/>
    <col min="8455" max="8455" width="17.140625" style="115" bestFit="1" customWidth="1"/>
    <col min="8456" max="8456" width="18.140625" style="115" bestFit="1" customWidth="1"/>
    <col min="8457" max="8457" width="26.42578125" style="115" customWidth="1"/>
    <col min="8458" max="8702" width="9.140625" style="115"/>
    <col min="8703" max="8703" width="8.7109375" style="115" bestFit="1" customWidth="1"/>
    <col min="8704" max="8704" width="13.28515625" style="115" customWidth="1"/>
    <col min="8705" max="8705" width="16.140625" style="115" bestFit="1" customWidth="1"/>
    <col min="8706" max="8706" width="23.5703125" style="115" customWidth="1"/>
    <col min="8707" max="8707" width="17.28515625" style="115" customWidth="1"/>
    <col min="8708" max="8708" width="20.5703125" style="115" bestFit="1" customWidth="1"/>
    <col min="8709" max="8709" width="17.140625" style="115" customWidth="1"/>
    <col min="8710" max="8710" width="21.85546875" style="115" bestFit="1" customWidth="1"/>
    <col min="8711" max="8711" width="17.140625" style="115" bestFit="1" customWidth="1"/>
    <col min="8712" max="8712" width="18.140625" style="115" bestFit="1" customWidth="1"/>
    <col min="8713" max="8713" width="26.42578125" style="115" customWidth="1"/>
    <col min="8714" max="8958" width="9.140625" style="115"/>
    <col min="8959" max="8959" width="8.7109375" style="115" bestFit="1" customWidth="1"/>
    <col min="8960" max="8960" width="13.28515625" style="115" customWidth="1"/>
    <col min="8961" max="8961" width="16.140625" style="115" bestFit="1" customWidth="1"/>
    <col min="8962" max="8962" width="23.5703125" style="115" customWidth="1"/>
    <col min="8963" max="8963" width="17.28515625" style="115" customWidth="1"/>
    <col min="8964" max="8964" width="20.5703125" style="115" bestFit="1" customWidth="1"/>
    <col min="8965" max="8965" width="17.140625" style="115" customWidth="1"/>
    <col min="8966" max="8966" width="21.85546875" style="115" bestFit="1" customWidth="1"/>
    <col min="8967" max="8967" width="17.140625" style="115" bestFit="1" customWidth="1"/>
    <col min="8968" max="8968" width="18.140625" style="115" bestFit="1" customWidth="1"/>
    <col min="8969" max="8969" width="26.42578125" style="115" customWidth="1"/>
    <col min="8970" max="9214" width="9.140625" style="115"/>
    <col min="9215" max="9215" width="8.7109375" style="115" bestFit="1" customWidth="1"/>
    <col min="9216" max="9216" width="13.28515625" style="115" customWidth="1"/>
    <col min="9217" max="9217" width="16.140625" style="115" bestFit="1" customWidth="1"/>
    <col min="9218" max="9218" width="23.5703125" style="115" customWidth="1"/>
    <col min="9219" max="9219" width="17.28515625" style="115" customWidth="1"/>
    <col min="9220" max="9220" width="20.5703125" style="115" bestFit="1" customWidth="1"/>
    <col min="9221" max="9221" width="17.140625" style="115" customWidth="1"/>
    <col min="9222" max="9222" width="21.85546875" style="115" bestFit="1" customWidth="1"/>
    <col min="9223" max="9223" width="17.140625" style="115" bestFit="1" customWidth="1"/>
    <col min="9224" max="9224" width="18.140625" style="115" bestFit="1" customWidth="1"/>
    <col min="9225" max="9225" width="26.42578125" style="115" customWidth="1"/>
    <col min="9226" max="9470" width="9.140625" style="115"/>
    <col min="9471" max="9471" width="8.7109375" style="115" bestFit="1" customWidth="1"/>
    <col min="9472" max="9472" width="13.28515625" style="115" customWidth="1"/>
    <col min="9473" max="9473" width="16.140625" style="115" bestFit="1" customWidth="1"/>
    <col min="9474" max="9474" width="23.5703125" style="115" customWidth="1"/>
    <col min="9475" max="9475" width="17.28515625" style="115" customWidth="1"/>
    <col min="9476" max="9476" width="20.5703125" style="115" bestFit="1" customWidth="1"/>
    <col min="9477" max="9477" width="17.140625" style="115" customWidth="1"/>
    <col min="9478" max="9478" width="21.85546875" style="115" bestFit="1" customWidth="1"/>
    <col min="9479" max="9479" width="17.140625" style="115" bestFit="1" customWidth="1"/>
    <col min="9480" max="9480" width="18.140625" style="115" bestFit="1" customWidth="1"/>
    <col min="9481" max="9481" width="26.42578125" style="115" customWidth="1"/>
    <col min="9482" max="9726" width="9.140625" style="115"/>
    <col min="9727" max="9727" width="8.7109375" style="115" bestFit="1" customWidth="1"/>
    <col min="9728" max="9728" width="13.28515625" style="115" customWidth="1"/>
    <col min="9729" max="9729" width="16.140625" style="115" bestFit="1" customWidth="1"/>
    <col min="9730" max="9730" width="23.5703125" style="115" customWidth="1"/>
    <col min="9731" max="9731" width="17.28515625" style="115" customWidth="1"/>
    <col min="9732" max="9732" width="20.5703125" style="115" bestFit="1" customWidth="1"/>
    <col min="9733" max="9733" width="17.140625" style="115" customWidth="1"/>
    <col min="9734" max="9734" width="21.85546875" style="115" bestFit="1" customWidth="1"/>
    <col min="9735" max="9735" width="17.140625" style="115" bestFit="1" customWidth="1"/>
    <col min="9736" max="9736" width="18.140625" style="115" bestFit="1" customWidth="1"/>
    <col min="9737" max="9737" width="26.42578125" style="115" customWidth="1"/>
    <col min="9738" max="9982" width="9.140625" style="115"/>
    <col min="9983" max="9983" width="8.7109375" style="115" bestFit="1" customWidth="1"/>
    <col min="9984" max="9984" width="13.28515625" style="115" customWidth="1"/>
    <col min="9985" max="9985" width="16.140625" style="115" bestFit="1" customWidth="1"/>
    <col min="9986" max="9986" width="23.5703125" style="115" customWidth="1"/>
    <col min="9987" max="9987" width="17.28515625" style="115" customWidth="1"/>
    <col min="9988" max="9988" width="20.5703125" style="115" bestFit="1" customWidth="1"/>
    <col min="9989" max="9989" width="17.140625" style="115" customWidth="1"/>
    <col min="9990" max="9990" width="21.85546875" style="115" bestFit="1" customWidth="1"/>
    <col min="9991" max="9991" width="17.140625" style="115" bestFit="1" customWidth="1"/>
    <col min="9992" max="9992" width="18.140625" style="115" bestFit="1" customWidth="1"/>
    <col min="9993" max="9993" width="26.42578125" style="115" customWidth="1"/>
    <col min="9994" max="10238" width="9.140625" style="115"/>
    <col min="10239" max="10239" width="8.7109375" style="115" bestFit="1" customWidth="1"/>
    <col min="10240" max="10240" width="13.28515625" style="115" customWidth="1"/>
    <col min="10241" max="10241" width="16.140625" style="115" bestFit="1" customWidth="1"/>
    <col min="10242" max="10242" width="23.5703125" style="115" customWidth="1"/>
    <col min="10243" max="10243" width="17.28515625" style="115" customWidth="1"/>
    <col min="10244" max="10244" width="20.5703125" style="115" bestFit="1" customWidth="1"/>
    <col min="10245" max="10245" width="17.140625" style="115" customWidth="1"/>
    <col min="10246" max="10246" width="21.85546875" style="115" bestFit="1" customWidth="1"/>
    <col min="10247" max="10247" width="17.140625" style="115" bestFit="1" customWidth="1"/>
    <col min="10248" max="10248" width="18.140625" style="115" bestFit="1" customWidth="1"/>
    <col min="10249" max="10249" width="26.42578125" style="115" customWidth="1"/>
    <col min="10250" max="10494" width="9.140625" style="115"/>
    <col min="10495" max="10495" width="8.7109375" style="115" bestFit="1" customWidth="1"/>
    <col min="10496" max="10496" width="13.28515625" style="115" customWidth="1"/>
    <col min="10497" max="10497" width="16.140625" style="115" bestFit="1" customWidth="1"/>
    <col min="10498" max="10498" width="23.5703125" style="115" customWidth="1"/>
    <col min="10499" max="10499" width="17.28515625" style="115" customWidth="1"/>
    <col min="10500" max="10500" width="20.5703125" style="115" bestFit="1" customWidth="1"/>
    <col min="10501" max="10501" width="17.140625" style="115" customWidth="1"/>
    <col min="10502" max="10502" width="21.85546875" style="115" bestFit="1" customWidth="1"/>
    <col min="10503" max="10503" width="17.140625" style="115" bestFit="1" customWidth="1"/>
    <col min="10504" max="10504" width="18.140625" style="115" bestFit="1" customWidth="1"/>
    <col min="10505" max="10505" width="26.42578125" style="115" customWidth="1"/>
    <col min="10506" max="10750" width="9.140625" style="115"/>
    <col min="10751" max="10751" width="8.7109375" style="115" bestFit="1" customWidth="1"/>
    <col min="10752" max="10752" width="13.28515625" style="115" customWidth="1"/>
    <col min="10753" max="10753" width="16.140625" style="115" bestFit="1" customWidth="1"/>
    <col min="10754" max="10754" width="23.5703125" style="115" customWidth="1"/>
    <col min="10755" max="10755" width="17.28515625" style="115" customWidth="1"/>
    <col min="10756" max="10756" width="20.5703125" style="115" bestFit="1" customWidth="1"/>
    <col min="10757" max="10757" width="17.140625" style="115" customWidth="1"/>
    <col min="10758" max="10758" width="21.85546875" style="115" bestFit="1" customWidth="1"/>
    <col min="10759" max="10759" width="17.140625" style="115" bestFit="1" customWidth="1"/>
    <col min="10760" max="10760" width="18.140625" style="115" bestFit="1" customWidth="1"/>
    <col min="10761" max="10761" width="26.42578125" style="115" customWidth="1"/>
    <col min="10762" max="11006" width="9.140625" style="115"/>
    <col min="11007" max="11007" width="8.7109375" style="115" bestFit="1" customWidth="1"/>
    <col min="11008" max="11008" width="13.28515625" style="115" customWidth="1"/>
    <col min="11009" max="11009" width="16.140625" style="115" bestFit="1" customWidth="1"/>
    <col min="11010" max="11010" width="23.5703125" style="115" customWidth="1"/>
    <col min="11011" max="11011" width="17.28515625" style="115" customWidth="1"/>
    <col min="11012" max="11012" width="20.5703125" style="115" bestFit="1" customWidth="1"/>
    <col min="11013" max="11013" width="17.140625" style="115" customWidth="1"/>
    <col min="11014" max="11014" width="21.85546875" style="115" bestFit="1" customWidth="1"/>
    <col min="11015" max="11015" width="17.140625" style="115" bestFit="1" customWidth="1"/>
    <col min="11016" max="11016" width="18.140625" style="115" bestFit="1" customWidth="1"/>
    <col min="11017" max="11017" width="26.42578125" style="115" customWidth="1"/>
    <col min="11018" max="11262" width="9.140625" style="115"/>
    <col min="11263" max="11263" width="8.7109375" style="115" bestFit="1" customWidth="1"/>
    <col min="11264" max="11264" width="13.28515625" style="115" customWidth="1"/>
    <col min="11265" max="11265" width="16.140625" style="115" bestFit="1" customWidth="1"/>
    <col min="11266" max="11266" width="23.5703125" style="115" customWidth="1"/>
    <col min="11267" max="11267" width="17.28515625" style="115" customWidth="1"/>
    <col min="11268" max="11268" width="20.5703125" style="115" bestFit="1" customWidth="1"/>
    <col min="11269" max="11269" width="17.140625" style="115" customWidth="1"/>
    <col min="11270" max="11270" width="21.85546875" style="115" bestFit="1" customWidth="1"/>
    <col min="11271" max="11271" width="17.140625" style="115" bestFit="1" customWidth="1"/>
    <col min="11272" max="11272" width="18.140625" style="115" bestFit="1" customWidth="1"/>
    <col min="11273" max="11273" width="26.42578125" style="115" customWidth="1"/>
    <col min="11274" max="11518" width="9.140625" style="115"/>
    <col min="11519" max="11519" width="8.7109375" style="115" bestFit="1" customWidth="1"/>
    <col min="11520" max="11520" width="13.28515625" style="115" customWidth="1"/>
    <col min="11521" max="11521" width="16.140625" style="115" bestFit="1" customWidth="1"/>
    <col min="11522" max="11522" width="23.5703125" style="115" customWidth="1"/>
    <col min="11523" max="11523" width="17.28515625" style="115" customWidth="1"/>
    <col min="11524" max="11524" width="20.5703125" style="115" bestFit="1" customWidth="1"/>
    <col min="11525" max="11525" width="17.140625" style="115" customWidth="1"/>
    <col min="11526" max="11526" width="21.85546875" style="115" bestFit="1" customWidth="1"/>
    <col min="11527" max="11527" width="17.140625" style="115" bestFit="1" customWidth="1"/>
    <col min="11528" max="11528" width="18.140625" style="115" bestFit="1" customWidth="1"/>
    <col min="11529" max="11529" width="26.42578125" style="115" customWidth="1"/>
    <col min="11530" max="11774" width="9.140625" style="115"/>
    <col min="11775" max="11775" width="8.7109375" style="115" bestFit="1" customWidth="1"/>
    <col min="11776" max="11776" width="13.28515625" style="115" customWidth="1"/>
    <col min="11777" max="11777" width="16.140625" style="115" bestFit="1" customWidth="1"/>
    <col min="11778" max="11778" width="23.5703125" style="115" customWidth="1"/>
    <col min="11779" max="11779" width="17.28515625" style="115" customWidth="1"/>
    <col min="11780" max="11780" width="20.5703125" style="115" bestFit="1" customWidth="1"/>
    <col min="11781" max="11781" width="17.140625" style="115" customWidth="1"/>
    <col min="11782" max="11782" width="21.85546875" style="115" bestFit="1" customWidth="1"/>
    <col min="11783" max="11783" width="17.140625" style="115" bestFit="1" customWidth="1"/>
    <col min="11784" max="11784" width="18.140625" style="115" bestFit="1" customWidth="1"/>
    <col min="11785" max="11785" width="26.42578125" style="115" customWidth="1"/>
    <col min="11786" max="12030" width="9.140625" style="115"/>
    <col min="12031" max="12031" width="8.7109375" style="115" bestFit="1" customWidth="1"/>
    <col min="12032" max="12032" width="13.28515625" style="115" customWidth="1"/>
    <col min="12033" max="12033" width="16.140625" style="115" bestFit="1" customWidth="1"/>
    <col min="12034" max="12034" width="23.5703125" style="115" customWidth="1"/>
    <col min="12035" max="12035" width="17.28515625" style="115" customWidth="1"/>
    <col min="12036" max="12036" width="20.5703125" style="115" bestFit="1" customWidth="1"/>
    <col min="12037" max="12037" width="17.140625" style="115" customWidth="1"/>
    <col min="12038" max="12038" width="21.85546875" style="115" bestFit="1" customWidth="1"/>
    <col min="12039" max="12039" width="17.140625" style="115" bestFit="1" customWidth="1"/>
    <col min="12040" max="12040" width="18.140625" style="115" bestFit="1" customWidth="1"/>
    <col min="12041" max="12041" width="26.42578125" style="115" customWidth="1"/>
    <col min="12042" max="12286" width="9.140625" style="115"/>
    <col min="12287" max="12287" width="8.7109375" style="115" bestFit="1" customWidth="1"/>
    <col min="12288" max="12288" width="13.28515625" style="115" customWidth="1"/>
    <col min="12289" max="12289" width="16.140625" style="115" bestFit="1" customWidth="1"/>
    <col min="12290" max="12290" width="23.5703125" style="115" customWidth="1"/>
    <col min="12291" max="12291" width="17.28515625" style="115" customWidth="1"/>
    <col min="12292" max="12292" width="20.5703125" style="115" bestFit="1" customWidth="1"/>
    <col min="12293" max="12293" width="17.140625" style="115" customWidth="1"/>
    <col min="12294" max="12294" width="21.85546875" style="115" bestFit="1" customWidth="1"/>
    <col min="12295" max="12295" width="17.140625" style="115" bestFit="1" customWidth="1"/>
    <col min="12296" max="12296" width="18.140625" style="115" bestFit="1" customWidth="1"/>
    <col min="12297" max="12297" width="26.42578125" style="115" customWidth="1"/>
    <col min="12298" max="12542" width="9.140625" style="115"/>
    <col min="12543" max="12543" width="8.7109375" style="115" bestFit="1" customWidth="1"/>
    <col min="12544" max="12544" width="13.28515625" style="115" customWidth="1"/>
    <col min="12545" max="12545" width="16.140625" style="115" bestFit="1" customWidth="1"/>
    <col min="12546" max="12546" width="23.5703125" style="115" customWidth="1"/>
    <col min="12547" max="12547" width="17.28515625" style="115" customWidth="1"/>
    <col min="12548" max="12548" width="20.5703125" style="115" bestFit="1" customWidth="1"/>
    <col min="12549" max="12549" width="17.140625" style="115" customWidth="1"/>
    <col min="12550" max="12550" width="21.85546875" style="115" bestFit="1" customWidth="1"/>
    <col min="12551" max="12551" width="17.140625" style="115" bestFit="1" customWidth="1"/>
    <col min="12552" max="12552" width="18.140625" style="115" bestFit="1" customWidth="1"/>
    <col min="12553" max="12553" width="26.42578125" style="115" customWidth="1"/>
    <col min="12554" max="12798" width="9.140625" style="115"/>
    <col min="12799" max="12799" width="8.7109375" style="115" bestFit="1" customWidth="1"/>
    <col min="12800" max="12800" width="13.28515625" style="115" customWidth="1"/>
    <col min="12801" max="12801" width="16.140625" style="115" bestFit="1" customWidth="1"/>
    <col min="12802" max="12802" width="23.5703125" style="115" customWidth="1"/>
    <col min="12803" max="12803" width="17.28515625" style="115" customWidth="1"/>
    <col min="12804" max="12804" width="20.5703125" style="115" bestFit="1" customWidth="1"/>
    <col min="12805" max="12805" width="17.140625" style="115" customWidth="1"/>
    <col min="12806" max="12806" width="21.85546875" style="115" bestFit="1" customWidth="1"/>
    <col min="12807" max="12807" width="17.140625" style="115" bestFit="1" customWidth="1"/>
    <col min="12808" max="12808" width="18.140625" style="115" bestFit="1" customWidth="1"/>
    <col min="12809" max="12809" width="26.42578125" style="115" customWidth="1"/>
    <col min="12810" max="13054" width="9.140625" style="115"/>
    <col min="13055" max="13055" width="8.7109375" style="115" bestFit="1" customWidth="1"/>
    <col min="13056" max="13056" width="13.28515625" style="115" customWidth="1"/>
    <col min="13057" max="13057" width="16.140625" style="115" bestFit="1" customWidth="1"/>
    <col min="13058" max="13058" width="23.5703125" style="115" customWidth="1"/>
    <col min="13059" max="13059" width="17.28515625" style="115" customWidth="1"/>
    <col min="13060" max="13060" width="20.5703125" style="115" bestFit="1" customWidth="1"/>
    <col min="13061" max="13061" width="17.140625" style="115" customWidth="1"/>
    <col min="13062" max="13062" width="21.85546875" style="115" bestFit="1" customWidth="1"/>
    <col min="13063" max="13063" width="17.140625" style="115" bestFit="1" customWidth="1"/>
    <col min="13064" max="13064" width="18.140625" style="115" bestFit="1" customWidth="1"/>
    <col min="13065" max="13065" width="26.42578125" style="115" customWidth="1"/>
    <col min="13066" max="13310" width="9.140625" style="115"/>
    <col min="13311" max="13311" width="8.7109375" style="115" bestFit="1" customWidth="1"/>
    <col min="13312" max="13312" width="13.28515625" style="115" customWidth="1"/>
    <col min="13313" max="13313" width="16.140625" style="115" bestFit="1" customWidth="1"/>
    <col min="13314" max="13314" width="23.5703125" style="115" customWidth="1"/>
    <col min="13315" max="13315" width="17.28515625" style="115" customWidth="1"/>
    <col min="13316" max="13316" width="20.5703125" style="115" bestFit="1" customWidth="1"/>
    <col min="13317" max="13317" width="17.140625" style="115" customWidth="1"/>
    <col min="13318" max="13318" width="21.85546875" style="115" bestFit="1" customWidth="1"/>
    <col min="13319" max="13319" width="17.140625" style="115" bestFit="1" customWidth="1"/>
    <col min="13320" max="13320" width="18.140625" style="115" bestFit="1" customWidth="1"/>
    <col min="13321" max="13321" width="26.42578125" style="115" customWidth="1"/>
    <col min="13322" max="13566" width="9.140625" style="115"/>
    <col min="13567" max="13567" width="8.7109375" style="115" bestFit="1" customWidth="1"/>
    <col min="13568" max="13568" width="13.28515625" style="115" customWidth="1"/>
    <col min="13569" max="13569" width="16.140625" style="115" bestFit="1" customWidth="1"/>
    <col min="13570" max="13570" width="23.5703125" style="115" customWidth="1"/>
    <col min="13571" max="13571" width="17.28515625" style="115" customWidth="1"/>
    <col min="13572" max="13572" width="20.5703125" style="115" bestFit="1" customWidth="1"/>
    <col min="13573" max="13573" width="17.140625" style="115" customWidth="1"/>
    <col min="13574" max="13574" width="21.85546875" style="115" bestFit="1" customWidth="1"/>
    <col min="13575" max="13575" width="17.140625" style="115" bestFit="1" customWidth="1"/>
    <col min="13576" max="13576" width="18.140625" style="115" bestFit="1" customWidth="1"/>
    <col min="13577" max="13577" width="26.42578125" style="115" customWidth="1"/>
    <col min="13578" max="13822" width="9.140625" style="115"/>
    <col min="13823" max="13823" width="8.7109375" style="115" bestFit="1" customWidth="1"/>
    <col min="13824" max="13824" width="13.28515625" style="115" customWidth="1"/>
    <col min="13825" max="13825" width="16.140625" style="115" bestFit="1" customWidth="1"/>
    <col min="13826" max="13826" width="23.5703125" style="115" customWidth="1"/>
    <col min="13827" max="13827" width="17.28515625" style="115" customWidth="1"/>
    <col min="13828" max="13828" width="20.5703125" style="115" bestFit="1" customWidth="1"/>
    <col min="13829" max="13829" width="17.140625" style="115" customWidth="1"/>
    <col min="13830" max="13830" width="21.85546875" style="115" bestFit="1" customWidth="1"/>
    <col min="13831" max="13831" width="17.140625" style="115" bestFit="1" customWidth="1"/>
    <col min="13832" max="13832" width="18.140625" style="115" bestFit="1" customWidth="1"/>
    <col min="13833" max="13833" width="26.42578125" style="115" customWidth="1"/>
    <col min="13834" max="14078" width="9.140625" style="115"/>
    <col min="14079" max="14079" width="8.7109375" style="115" bestFit="1" customWidth="1"/>
    <col min="14080" max="14080" width="13.28515625" style="115" customWidth="1"/>
    <col min="14081" max="14081" width="16.140625" style="115" bestFit="1" customWidth="1"/>
    <col min="14082" max="14082" width="23.5703125" style="115" customWidth="1"/>
    <col min="14083" max="14083" width="17.28515625" style="115" customWidth="1"/>
    <col min="14084" max="14084" width="20.5703125" style="115" bestFit="1" customWidth="1"/>
    <col min="14085" max="14085" width="17.140625" style="115" customWidth="1"/>
    <col min="14086" max="14086" width="21.85546875" style="115" bestFit="1" customWidth="1"/>
    <col min="14087" max="14087" width="17.140625" style="115" bestFit="1" customWidth="1"/>
    <col min="14088" max="14088" width="18.140625" style="115" bestFit="1" customWidth="1"/>
    <col min="14089" max="14089" width="26.42578125" style="115" customWidth="1"/>
    <col min="14090" max="14334" width="9.140625" style="115"/>
    <col min="14335" max="14335" width="8.7109375" style="115" bestFit="1" customWidth="1"/>
    <col min="14336" max="14336" width="13.28515625" style="115" customWidth="1"/>
    <col min="14337" max="14337" width="16.140625" style="115" bestFit="1" customWidth="1"/>
    <col min="14338" max="14338" width="23.5703125" style="115" customWidth="1"/>
    <col min="14339" max="14339" width="17.28515625" style="115" customWidth="1"/>
    <col min="14340" max="14340" width="20.5703125" style="115" bestFit="1" customWidth="1"/>
    <col min="14341" max="14341" width="17.140625" style="115" customWidth="1"/>
    <col min="14342" max="14342" width="21.85546875" style="115" bestFit="1" customWidth="1"/>
    <col min="14343" max="14343" width="17.140625" style="115" bestFit="1" customWidth="1"/>
    <col min="14344" max="14344" width="18.140625" style="115" bestFit="1" customWidth="1"/>
    <col min="14345" max="14345" width="26.42578125" style="115" customWidth="1"/>
    <col min="14346" max="14590" width="9.140625" style="115"/>
    <col min="14591" max="14591" width="8.7109375" style="115" bestFit="1" customWidth="1"/>
    <col min="14592" max="14592" width="13.28515625" style="115" customWidth="1"/>
    <col min="14593" max="14593" width="16.140625" style="115" bestFit="1" customWidth="1"/>
    <col min="14594" max="14594" width="23.5703125" style="115" customWidth="1"/>
    <col min="14595" max="14595" width="17.28515625" style="115" customWidth="1"/>
    <col min="14596" max="14596" width="20.5703125" style="115" bestFit="1" customWidth="1"/>
    <col min="14597" max="14597" width="17.140625" style="115" customWidth="1"/>
    <col min="14598" max="14598" width="21.85546875" style="115" bestFit="1" customWidth="1"/>
    <col min="14599" max="14599" width="17.140625" style="115" bestFit="1" customWidth="1"/>
    <col min="14600" max="14600" width="18.140625" style="115" bestFit="1" customWidth="1"/>
    <col min="14601" max="14601" width="26.42578125" style="115" customWidth="1"/>
    <col min="14602" max="14846" width="9.140625" style="115"/>
    <col min="14847" max="14847" width="8.7109375" style="115" bestFit="1" customWidth="1"/>
    <col min="14848" max="14848" width="13.28515625" style="115" customWidth="1"/>
    <col min="14849" max="14849" width="16.140625" style="115" bestFit="1" customWidth="1"/>
    <col min="14850" max="14850" width="23.5703125" style="115" customWidth="1"/>
    <col min="14851" max="14851" width="17.28515625" style="115" customWidth="1"/>
    <col min="14852" max="14852" width="20.5703125" style="115" bestFit="1" customWidth="1"/>
    <col min="14853" max="14853" width="17.140625" style="115" customWidth="1"/>
    <col min="14854" max="14854" width="21.85546875" style="115" bestFit="1" customWidth="1"/>
    <col min="14855" max="14855" width="17.140625" style="115" bestFit="1" customWidth="1"/>
    <col min="14856" max="14856" width="18.140625" style="115" bestFit="1" customWidth="1"/>
    <col min="14857" max="14857" width="26.42578125" style="115" customWidth="1"/>
    <col min="14858" max="15102" width="9.140625" style="115"/>
    <col min="15103" max="15103" width="8.7109375" style="115" bestFit="1" customWidth="1"/>
    <col min="15104" max="15104" width="13.28515625" style="115" customWidth="1"/>
    <col min="15105" max="15105" width="16.140625" style="115" bestFit="1" customWidth="1"/>
    <col min="15106" max="15106" width="23.5703125" style="115" customWidth="1"/>
    <col min="15107" max="15107" width="17.28515625" style="115" customWidth="1"/>
    <col min="15108" max="15108" width="20.5703125" style="115" bestFit="1" customWidth="1"/>
    <col min="15109" max="15109" width="17.140625" style="115" customWidth="1"/>
    <col min="15110" max="15110" width="21.85546875" style="115" bestFit="1" customWidth="1"/>
    <col min="15111" max="15111" width="17.140625" style="115" bestFit="1" customWidth="1"/>
    <col min="15112" max="15112" width="18.140625" style="115" bestFit="1" customWidth="1"/>
    <col min="15113" max="15113" width="26.42578125" style="115" customWidth="1"/>
    <col min="15114" max="15358" width="9.140625" style="115"/>
    <col min="15359" max="15359" width="8.7109375" style="115" bestFit="1" customWidth="1"/>
    <col min="15360" max="15360" width="13.28515625" style="115" customWidth="1"/>
    <col min="15361" max="15361" width="16.140625" style="115" bestFit="1" customWidth="1"/>
    <col min="15362" max="15362" width="23.5703125" style="115" customWidth="1"/>
    <col min="15363" max="15363" width="17.28515625" style="115" customWidth="1"/>
    <col min="15364" max="15364" width="20.5703125" style="115" bestFit="1" customWidth="1"/>
    <col min="15365" max="15365" width="17.140625" style="115" customWidth="1"/>
    <col min="15366" max="15366" width="21.85546875" style="115" bestFit="1" customWidth="1"/>
    <col min="15367" max="15367" width="17.140625" style="115" bestFit="1" customWidth="1"/>
    <col min="15368" max="15368" width="18.140625" style="115" bestFit="1" customWidth="1"/>
    <col min="15369" max="15369" width="26.42578125" style="115" customWidth="1"/>
    <col min="15370" max="15614" width="9.140625" style="115"/>
    <col min="15615" max="15615" width="8.7109375" style="115" bestFit="1" customWidth="1"/>
    <col min="15616" max="15616" width="13.28515625" style="115" customWidth="1"/>
    <col min="15617" max="15617" width="16.140625" style="115" bestFit="1" customWidth="1"/>
    <col min="15618" max="15618" width="23.5703125" style="115" customWidth="1"/>
    <col min="15619" max="15619" width="17.28515625" style="115" customWidth="1"/>
    <col min="15620" max="15620" width="20.5703125" style="115" bestFit="1" customWidth="1"/>
    <col min="15621" max="15621" width="17.140625" style="115" customWidth="1"/>
    <col min="15622" max="15622" width="21.85546875" style="115" bestFit="1" customWidth="1"/>
    <col min="15623" max="15623" width="17.140625" style="115" bestFit="1" customWidth="1"/>
    <col min="15624" max="15624" width="18.140625" style="115" bestFit="1" customWidth="1"/>
    <col min="15625" max="15625" width="26.42578125" style="115" customWidth="1"/>
    <col min="15626" max="15870" width="9.140625" style="115"/>
    <col min="15871" max="15871" width="8.7109375" style="115" bestFit="1" customWidth="1"/>
    <col min="15872" max="15872" width="13.28515625" style="115" customWidth="1"/>
    <col min="15873" max="15873" width="16.140625" style="115" bestFit="1" customWidth="1"/>
    <col min="15874" max="15874" width="23.5703125" style="115" customWidth="1"/>
    <col min="15875" max="15875" width="17.28515625" style="115" customWidth="1"/>
    <col min="15876" max="15876" width="20.5703125" style="115" bestFit="1" customWidth="1"/>
    <col min="15877" max="15877" width="17.140625" style="115" customWidth="1"/>
    <col min="15878" max="15878" width="21.85546875" style="115" bestFit="1" customWidth="1"/>
    <col min="15879" max="15879" width="17.140625" style="115" bestFit="1" customWidth="1"/>
    <col min="15880" max="15880" width="18.140625" style="115" bestFit="1" customWidth="1"/>
    <col min="15881" max="15881" width="26.42578125" style="115" customWidth="1"/>
    <col min="15882" max="16126" width="9.140625" style="115"/>
    <col min="16127" max="16127" width="8.7109375" style="115" bestFit="1" customWidth="1"/>
    <col min="16128" max="16128" width="13.28515625" style="115" customWidth="1"/>
    <col min="16129" max="16129" width="16.140625" style="115" bestFit="1" customWidth="1"/>
    <col min="16130" max="16130" width="23.5703125" style="115" customWidth="1"/>
    <col min="16131" max="16131" width="17.28515625" style="115" customWidth="1"/>
    <col min="16132" max="16132" width="20.5703125" style="115" bestFit="1" customWidth="1"/>
    <col min="16133" max="16133" width="17.140625" style="115" customWidth="1"/>
    <col min="16134" max="16134" width="21.85546875" style="115" bestFit="1" customWidth="1"/>
    <col min="16135" max="16135" width="17.140625" style="115" bestFit="1" customWidth="1"/>
    <col min="16136" max="16136" width="18.140625" style="115" bestFit="1" customWidth="1"/>
    <col min="16137" max="16137" width="26.42578125" style="115" customWidth="1"/>
    <col min="16138" max="16384" width="9.140625" style="115"/>
  </cols>
  <sheetData>
    <row r="1" spans="11:12" s="133" customFormat="1" x14ac:dyDescent="0.2">
      <c r="K1" s="481"/>
      <c r="L1" s="480"/>
    </row>
    <row r="2" spans="11:12" s="133" customFormat="1" x14ac:dyDescent="0.2">
      <c r="K2" s="481"/>
      <c r="L2" s="480"/>
    </row>
    <row r="3" spans="11:12" s="133" customFormat="1" x14ac:dyDescent="0.2">
      <c r="K3" s="481"/>
      <c r="L3" s="480"/>
    </row>
    <row r="4" spans="11:12" s="133" customFormat="1" x14ac:dyDescent="0.2">
      <c r="K4" s="481"/>
      <c r="L4" s="480"/>
    </row>
    <row r="5" spans="11:12" s="133" customFormat="1" x14ac:dyDescent="0.2">
      <c r="K5" s="481"/>
      <c r="L5" s="480"/>
    </row>
    <row r="6" spans="11:12" s="133" customFormat="1" x14ac:dyDescent="0.2">
      <c r="K6" s="481"/>
      <c r="L6" s="480"/>
    </row>
    <row r="7" spans="11:12" s="133" customFormat="1" x14ac:dyDescent="0.2">
      <c r="K7" s="481"/>
      <c r="L7" s="480"/>
    </row>
    <row r="8" spans="11:12" s="133" customFormat="1" x14ac:dyDescent="0.2">
      <c r="K8" s="481"/>
      <c r="L8" s="480"/>
    </row>
    <row r="9" spans="11:12" s="133" customFormat="1" x14ac:dyDescent="0.2">
      <c r="K9" s="481"/>
      <c r="L9" s="480"/>
    </row>
    <row r="10" spans="11:12" s="133" customFormat="1" x14ac:dyDescent="0.2">
      <c r="K10" s="481"/>
      <c r="L10" s="480"/>
    </row>
    <row r="11" spans="11:12" s="133" customFormat="1" x14ac:dyDescent="0.2">
      <c r="K11" s="481"/>
      <c r="L11" s="480"/>
    </row>
    <row r="12" spans="11:12" s="133" customFormat="1" x14ac:dyDescent="0.2">
      <c r="K12" s="481"/>
      <c r="L12" s="480"/>
    </row>
    <row r="13" spans="11:12" s="133" customFormat="1" x14ac:dyDescent="0.2">
      <c r="K13" s="481"/>
      <c r="L13" s="480"/>
    </row>
    <row r="14" spans="11:12" s="133" customFormat="1" x14ac:dyDescent="0.2">
      <c r="K14" s="481"/>
      <c r="L14" s="480"/>
    </row>
    <row r="15" spans="11:12" s="133" customFormat="1" x14ac:dyDescent="0.2">
      <c r="K15" s="481"/>
      <c r="L15" s="480"/>
    </row>
    <row r="16" spans="11:12" s="133" customFormat="1" x14ac:dyDescent="0.2">
      <c r="K16" s="481"/>
      <c r="L16" s="480"/>
    </row>
    <row r="17" spans="1:17" s="133" customFormat="1" x14ac:dyDescent="0.2">
      <c r="K17" s="481"/>
      <c r="L17" s="480"/>
    </row>
    <row r="18" spans="1:17" s="133" customFormat="1" x14ac:dyDescent="0.2">
      <c r="K18" s="481"/>
      <c r="L18" s="480"/>
    </row>
    <row r="19" spans="1:17" s="133" customFormat="1" x14ac:dyDescent="0.2">
      <c r="K19" s="481"/>
      <c r="L19" s="480"/>
    </row>
    <row r="20" spans="1:17" s="133" customFormat="1" x14ac:dyDescent="0.2">
      <c r="K20" s="481"/>
      <c r="L20" s="480"/>
    </row>
    <row r="21" spans="1:17" s="133" customFormat="1" x14ac:dyDescent="0.2">
      <c r="K21" s="481"/>
      <c r="L21" s="480"/>
    </row>
    <row r="22" spans="1:17" s="133" customFormat="1" x14ac:dyDescent="0.2">
      <c r="K22" s="481"/>
      <c r="L22" s="480"/>
    </row>
    <row r="23" spans="1:17" s="133" customFormat="1" x14ac:dyDescent="0.2">
      <c r="K23" s="481"/>
      <c r="L23" s="480"/>
    </row>
    <row r="24" spans="1:17" s="133" customFormat="1" x14ac:dyDescent="0.2">
      <c r="K24" s="481"/>
      <c r="L24" s="480"/>
    </row>
    <row r="25" spans="1:17" s="133" customFormat="1" x14ac:dyDescent="0.2">
      <c r="K25" s="481"/>
      <c r="L25" s="480"/>
    </row>
    <row r="26" spans="1:17" s="133" customFormat="1" x14ac:dyDescent="0.2">
      <c r="K26" s="481"/>
      <c r="L26" s="480"/>
    </row>
    <row r="27" spans="1:17" s="133" customFormat="1" x14ac:dyDescent="0.2">
      <c r="K27" s="481"/>
      <c r="L27" s="480"/>
    </row>
    <row r="28" spans="1:17" s="133" customFormat="1" ht="24.75" customHeight="1" x14ac:dyDescent="0.25">
      <c r="A28" s="507" t="str">
        <f>CHOOSE(MODE, 'Variable Mgmt'!K11,'Variable Mgmt'!K12)</f>
        <v>SINGLE Output PSR Flyback Converter, VIN = 24 V, VOUT = 12 V, IOUT = 0.4 A</v>
      </c>
      <c r="K28" s="480"/>
      <c r="L28" s="480"/>
    </row>
    <row r="29" spans="1:17" ht="24.75" customHeight="1" thickBot="1" x14ac:dyDescent="0.25">
      <c r="A29" s="116" t="s">
        <v>539</v>
      </c>
    </row>
    <row r="30" spans="1:17" ht="18" customHeight="1" x14ac:dyDescent="0.2">
      <c r="A30" s="207" t="s">
        <v>123</v>
      </c>
      <c r="B30" s="208" t="s">
        <v>122</v>
      </c>
      <c r="C30" s="208" t="s">
        <v>6</v>
      </c>
      <c r="D30" s="667" t="s">
        <v>41</v>
      </c>
      <c r="E30" s="668"/>
      <c r="F30" s="669"/>
      <c r="G30" s="208" t="s">
        <v>116</v>
      </c>
      <c r="H30" s="208" t="s">
        <v>67</v>
      </c>
      <c r="I30" s="499" t="s">
        <v>117</v>
      </c>
      <c r="J30" s="500" t="s">
        <v>350</v>
      </c>
      <c r="K30" s="501" t="s">
        <v>359</v>
      </c>
      <c r="L30" s="474"/>
      <c r="N30" s="118"/>
      <c r="Q30" s="506"/>
    </row>
    <row r="31" spans="1:17" s="118" customFormat="1" ht="17.100000000000001" customHeight="1" x14ac:dyDescent="0.2">
      <c r="A31" s="117">
        <f>ROUNDUP('Design Converter'!E17/10,0)</f>
        <v>3</v>
      </c>
      <c r="B31" s="129" t="s">
        <v>120</v>
      </c>
      <c r="C31" s="132">
        <f>Cin</f>
        <v>22</v>
      </c>
      <c r="D31" s="665" t="str">
        <f>IF(VIN_max&gt;35, "Capacitor, Ceramic, "&amp;'Variable Mgmt'!B218&amp;", 100V, X7R, 10%", "Capacitor, Ceramic, "&amp;'Variable Mgmt'!B218&amp;", 50V, X7R, 10%")</f>
        <v>Capacitor, Ceramic, 22µF, 50V, X7R, 10%</v>
      </c>
      <c r="E31" s="666"/>
      <c r="F31" s="666"/>
      <c r="G31" s="130"/>
      <c r="H31" s="131" t="s">
        <v>118</v>
      </c>
      <c r="I31" s="486" t="s">
        <v>118</v>
      </c>
      <c r="J31" s="495" t="str">
        <f>CHOOSE(Q31,'Variable Mgmt'!T56,'Variable Mgmt'!T57,'Variable Mgmt'!T58,'Variable Mgmt'!T59,'Variable Mgmt'!T60)</f>
        <v>3.2 x 2.5</v>
      </c>
      <c r="K31" s="493">
        <f>CHOOSE(Q31,'Variable Mgmt'!U56,'Variable Mgmt'!U57,'Variable Mgmt'!U58,'Variable Mgmt'!U59,'Variable Mgmt'!U60)</f>
        <v>8</v>
      </c>
      <c r="L31" s="498"/>
      <c r="Q31" s="504">
        <v>5</v>
      </c>
    </row>
    <row r="32" spans="1:17" s="118" customFormat="1" ht="17.100000000000001" customHeight="1" x14ac:dyDescent="0.2">
      <c r="A32" s="117">
        <v>1</v>
      </c>
      <c r="B32" s="129" t="s">
        <v>121</v>
      </c>
      <c r="C32" s="132">
        <f>Cout</f>
        <v>100</v>
      </c>
      <c r="D32" s="681" t="str">
        <f>CHOOSE(Cout_Voltage_Rating, "Capacitor, Ceramic, "&amp;'Variable Mgmt'!B213&amp;", 6.3V, X7R, 10%", "Capacitor, Ceramic, "&amp;'Variable Mgmt'!B213&amp;", 10V, X7R, 10%", "Capacitor, Ceramic, "&amp;'Variable Mgmt'!B213&amp;", 16V, X7R, 10%", "Capacitor, Ceramic, "&amp;'Variable Mgmt'!B213&amp;", 25V, X7R, 10%",  "Capacitor, Ceramic, "&amp;'Variable Mgmt'!B213&amp;", 50V, X7R, 10%")</f>
        <v>Capacitor, Ceramic, 100µF, 16V, X7R, 10%</v>
      </c>
      <c r="E32" s="682"/>
      <c r="F32" s="682"/>
      <c r="G32" s="130"/>
      <c r="H32" s="131" t="s">
        <v>118</v>
      </c>
      <c r="I32" s="486" t="s">
        <v>118</v>
      </c>
      <c r="J32" s="495" t="str">
        <f>CHOOSE(Q32,'Variable Mgmt'!T56,'Variable Mgmt'!T57,'Variable Mgmt'!T58,'Variable Mgmt'!T59,'Variable Mgmt'!T60)</f>
        <v>3.2 x 2.5</v>
      </c>
      <c r="K32" s="493">
        <f>CHOOSE(Q32,'Variable Mgmt'!U56,'Variable Mgmt'!U57,'Variable Mgmt'!U58,'Variable Mgmt'!U59,'Variable Mgmt'!U60)</f>
        <v>8</v>
      </c>
      <c r="L32" s="498"/>
      <c r="Q32" s="505">
        <v>5</v>
      </c>
    </row>
    <row r="33" spans="1:17" s="118" customFormat="1" ht="17.100000000000001" customHeight="1" x14ac:dyDescent="0.2">
      <c r="A33" s="117" t="str">
        <f>CHOOSE(MODE, "-", "1")</f>
        <v>-</v>
      </c>
      <c r="B33" s="129" t="s">
        <v>644</v>
      </c>
      <c r="C33" s="132" t="str">
        <f>CHOOSE(MODE, "-", Cout2)</f>
        <v>-</v>
      </c>
      <c r="D33" s="619" t="str">
        <f>CHOOSE(MODE, "-", CHOOSE(Cout_Voltage_Rating, "Capacitor, Ceramic, "&amp;'Variable Mgmt'!F213&amp;", 6.3V, X7R, 10%", "Capacitor, Ceramic, "&amp;'Variable Mgmt'!F213&amp;", 10V, X7R, 10%", "Capacitor, Ceramic, "&amp;'Variable Mgmt'!F213&amp;", 16V, X7R, 10%", "Capacitor, Ceramic, "&amp;'Variable Mgmt'!F213&amp;", 25V, X7R, 10%",  "Capacitor, Ceramic, "&amp;'Variable Mgmt'!F213&amp;", 50V, X7R, 10%"))</f>
        <v>-</v>
      </c>
      <c r="E33" s="620"/>
      <c r="F33" s="620"/>
      <c r="G33" s="130"/>
      <c r="H33" s="131" t="str">
        <f>CHOOSE(MODE, "-", "Std")</f>
        <v>-</v>
      </c>
      <c r="I33" s="486" t="str">
        <f>CHOOSE(MODE, "-", "Std")</f>
        <v>-</v>
      </c>
      <c r="J33" s="495" t="str">
        <f>CHOOSE(MODE, "-", CHOOSE(Q33,'Variable Mgmt'!T56,'Variable Mgmt'!T57,'Variable Mgmt'!T58,'Variable Mgmt'!T59,'Variable Mgmt'!T60))</f>
        <v>-</v>
      </c>
      <c r="K33" s="493" t="str">
        <f>CHOOSE(MODE, "-", CHOOSE(Q33,'Variable Mgmt'!U56,'Variable Mgmt'!U57,'Variable Mgmt'!U58,'Variable Mgmt'!U59,'Variable Mgmt'!U60))</f>
        <v>-</v>
      </c>
      <c r="L33" s="498"/>
      <c r="Q33" s="505">
        <v>5</v>
      </c>
    </row>
    <row r="34" spans="1:17" s="118" customFormat="1" ht="17.100000000000001" customHeight="1" x14ac:dyDescent="0.2">
      <c r="A34" s="119" t="str">
        <f>CHOOSE(MODE_SS, "1", "-", "1")</f>
        <v>-</v>
      </c>
      <c r="B34" s="120" t="str">
        <f>CHOOSE(MODE_SS, "Css", "-")</f>
        <v>-</v>
      </c>
      <c r="C34" s="646" t="str">
        <f>CHOOSE(MODE_SS, 'Standard Value Calculator'!B4*1000000000&amp;"nF", "-", "100k")</f>
        <v>-</v>
      </c>
      <c r="D34" s="683" t="str">
        <f>CHOOSE(MODE_SS, "Capacitor, Ceramic, "&amp;'Standard Value Calculator'!B4*1000000000&amp;"nF"&amp;", 16V, X7R, 10%", "-")</f>
        <v>-</v>
      </c>
      <c r="E34" s="684"/>
      <c r="F34" s="684"/>
      <c r="G34" s="122" t="s">
        <v>119</v>
      </c>
      <c r="H34" s="123" t="str">
        <f>CHOOSE(MODE_SS, "Std", "-")</f>
        <v>-</v>
      </c>
      <c r="I34" s="487" t="str">
        <f>CHOOSE(MODE_SS, "Std", "-")</f>
        <v>-</v>
      </c>
      <c r="J34" s="495" t="str">
        <f>CHOOSE(MODE_SS,CHOOSE(Q34,'Variable Mgmt'!T56,'Variable Mgmt'!T57,'Variable Mgmt'!T58),"-",CHOOSE(Q34,'Variable Mgmt'!T56,'Variable Mgmt'!T57,'Variable Mgmt'!T58))</f>
        <v>-</v>
      </c>
      <c r="K34" s="493" t="str">
        <f>CHOOSE(MODE_SS, CHOOSE(Q34,'Variable Mgmt'!U56,'Variable Mgmt'!U57,'Variable Mgmt'!U58), "-", CHOOSE(Q34,'Variable Mgmt'!U56,'Variable Mgmt'!U57,'Variable Mgmt'!U58))</f>
        <v>-</v>
      </c>
      <c r="L34" s="498"/>
      <c r="Q34" s="505">
        <v>1</v>
      </c>
    </row>
    <row r="35" spans="1:17" s="118" customFormat="1" ht="17.100000000000001" customHeight="1" x14ac:dyDescent="0.2">
      <c r="A35" s="124">
        <v>1</v>
      </c>
      <c r="B35" s="125" t="s">
        <v>646</v>
      </c>
      <c r="C35" s="126" t="s">
        <v>194</v>
      </c>
      <c r="D35" s="674" t="str">
        <f>"Rectifying Diode, Schottky"</f>
        <v>Rectifying Diode, Schottky</v>
      </c>
      <c r="E35" s="675"/>
      <c r="F35" s="675"/>
      <c r="G35" s="127" t="e">
        <f>CHOOSE(SHORT_ILIM, "-", "0603")</f>
        <v>#NAME?</v>
      </c>
      <c r="H35" s="128" t="s">
        <v>118</v>
      </c>
      <c r="I35" s="488" t="s">
        <v>118</v>
      </c>
      <c r="J35" s="639" t="str">
        <f>CHOOSE(Q35,'Variable Mgmt'!Y65,'Variable Mgmt'!Y66,'Variable Mgmt'!Y67,'Variable Mgmt'!Y68)</f>
        <v>3.6 x 1.8</v>
      </c>
      <c r="K35" s="640">
        <f>CHOOSE(Q35,'Variable Mgmt'!Z65,'Variable Mgmt'!Z66,'Variable Mgmt'!Z67,'Variable Mgmt'!Z68)</f>
        <v>6.5</v>
      </c>
      <c r="L35" s="498"/>
      <c r="Q35" s="505">
        <v>3</v>
      </c>
    </row>
    <row r="36" spans="1:17" s="118" customFormat="1" ht="17.100000000000001" customHeight="1" x14ac:dyDescent="0.2">
      <c r="A36" s="124" t="str">
        <f>CHOOSE(MODE, "-", "1")</f>
        <v>-</v>
      </c>
      <c r="B36" s="125" t="s">
        <v>645</v>
      </c>
      <c r="C36" s="126" t="str">
        <f>CHOOSE(MODE, "-", "Diode")</f>
        <v>-</v>
      </c>
      <c r="D36" s="672" t="str">
        <f>CHOOSE(MODE, "-", "Rectifying Diode, Schottky")</f>
        <v>-</v>
      </c>
      <c r="E36" s="673"/>
      <c r="F36" s="673"/>
      <c r="G36" s="127" t="s">
        <v>119</v>
      </c>
      <c r="H36" s="128" t="str">
        <f>CHOOSE(MODE, "-", "Std")</f>
        <v>-</v>
      </c>
      <c r="I36" s="488" t="str">
        <f>CHOOSE(MODE, "-", "Std")</f>
        <v>-</v>
      </c>
      <c r="J36" s="639" t="str">
        <f>CHOOSE(MODE, "-", CHOOSE(Q36,'Variable Mgmt'!Y65,'Variable Mgmt'!Y66,'Variable Mgmt'!Y67,'Variable Mgmt'!Y68))</f>
        <v>-</v>
      </c>
      <c r="K36" s="640" t="str">
        <f>CHOOSE(MODE, "-", CHOOSE(Q36,'Variable Mgmt'!Z65,'Variable Mgmt'!Z66,'Variable Mgmt'!Z67,'Variable Mgmt'!Z68))</f>
        <v>-</v>
      </c>
      <c r="L36" s="498"/>
      <c r="Q36" s="505">
        <v>3</v>
      </c>
    </row>
    <row r="37" spans="1:17" s="118" customFormat="1" ht="17.100000000000001" customHeight="1" x14ac:dyDescent="0.2">
      <c r="A37" s="124">
        <v>1</v>
      </c>
      <c r="B37" s="125" t="s">
        <v>647</v>
      </c>
      <c r="C37" s="126" t="str">
        <f>"Diode"</f>
        <v>Diode</v>
      </c>
      <c r="D37" s="644" t="str">
        <f>"Clamp Circuit Diode, Fast Recovery"</f>
        <v>Clamp Circuit Diode, Fast Recovery</v>
      </c>
      <c r="E37" s="645"/>
      <c r="F37" s="645"/>
      <c r="G37" s="127"/>
      <c r="H37" s="128" t="s">
        <v>118</v>
      </c>
      <c r="I37" s="488" t="s">
        <v>118</v>
      </c>
      <c r="J37" s="639" t="str">
        <f>CHOOSE(Q37,'Variable Mgmt'!Y65,'Variable Mgmt'!Y66,'Variable Mgmt'!Y67,'Variable Mgmt'!Y68)</f>
        <v>2.5 x 1.25</v>
      </c>
      <c r="K37" s="640">
        <f>CHOOSE(Q37,'Variable Mgmt'!Z65,'Variable Mgmt'!Z66,'Variable Mgmt'!Z67,'Variable Mgmt'!Z68)</f>
        <v>3.2</v>
      </c>
      <c r="L37" s="498"/>
      <c r="Q37" s="505">
        <v>2</v>
      </c>
    </row>
    <row r="38" spans="1:17" s="118" customFormat="1" ht="17.100000000000001" customHeight="1" x14ac:dyDescent="0.2">
      <c r="A38" s="124">
        <v>1</v>
      </c>
      <c r="B38" s="125" t="s">
        <v>642</v>
      </c>
      <c r="C38" s="126" t="s">
        <v>643</v>
      </c>
      <c r="D38" s="672" t="str">
        <f>"Clamp Circuit Diode, Zener, 24V"</f>
        <v>Clamp Circuit Diode, Zener, 24V</v>
      </c>
      <c r="E38" s="673"/>
      <c r="F38" s="673"/>
      <c r="G38" s="127" t="s">
        <v>119</v>
      </c>
      <c r="H38" s="128" t="s">
        <v>118</v>
      </c>
      <c r="I38" s="488" t="s">
        <v>118</v>
      </c>
      <c r="J38" s="639" t="str">
        <f>CHOOSE(Q38,'Variable Mgmt'!T56,'Variable Mgmt'!T57,'Variable Mgmt'!T58)</f>
        <v>1.0 x 0.5</v>
      </c>
      <c r="K38" s="640">
        <f>CHOOSE(Q38,'Variable Mgmt'!Z65,'Variable Mgmt'!Z66,'Variable Mgmt'!Z67,'Variable Mgmt'!Z68)</f>
        <v>1.3</v>
      </c>
      <c r="L38" s="498"/>
      <c r="Q38" s="505">
        <v>1</v>
      </c>
    </row>
    <row r="39" spans="1:17" s="118" customFormat="1" ht="17.100000000000001" customHeight="1" x14ac:dyDescent="0.2">
      <c r="A39" s="124">
        <v>1</v>
      </c>
      <c r="B39" s="125" t="s">
        <v>657</v>
      </c>
      <c r="C39" s="126" t="str">
        <f>Vout*1.1&amp;"V"</f>
        <v>13.2V</v>
      </c>
      <c r="D39" s="644" t="str">
        <f>"Output Clamp Diode, Zener, "&amp;ROUND(Vout*1.125,0)&amp;"V"</f>
        <v>Output Clamp Diode, Zener, 14V</v>
      </c>
      <c r="E39" s="645"/>
      <c r="F39" s="645"/>
      <c r="G39" s="127"/>
      <c r="H39" s="128" t="s">
        <v>118</v>
      </c>
      <c r="I39" s="488" t="s">
        <v>118</v>
      </c>
      <c r="J39" s="639" t="str">
        <f>CHOOSE(Q39,'Variable Mgmt'!T56,'Variable Mgmt'!T57,'Variable Mgmt'!T58)</f>
        <v>1.0 x 0.5</v>
      </c>
      <c r="K39" s="640">
        <f>CHOOSE(Q39,'Variable Mgmt'!Z65,'Variable Mgmt'!Z66,'Variable Mgmt'!Z67,'Variable Mgmt'!Z68)</f>
        <v>1.3</v>
      </c>
      <c r="L39" s="498"/>
      <c r="Q39" s="505">
        <v>1</v>
      </c>
    </row>
    <row r="40" spans="1:17" s="118" customFormat="1" ht="17.100000000000001" customHeight="1" x14ac:dyDescent="0.2">
      <c r="A40" s="119">
        <v>1</v>
      </c>
      <c r="B40" s="120" t="s">
        <v>648</v>
      </c>
      <c r="C40" s="121">
        <v>12.1</v>
      </c>
      <c r="D40" s="670">
        <f t="shared" ref="D40" si="0">C40</f>
        <v>12.1</v>
      </c>
      <c r="E40" s="671"/>
      <c r="F40" s="671"/>
      <c r="G40" s="122" t="s">
        <v>119</v>
      </c>
      <c r="H40" s="123" t="s">
        <v>118</v>
      </c>
      <c r="I40" s="487" t="s">
        <v>118</v>
      </c>
      <c r="J40" s="495" t="str">
        <f>CHOOSE(Q40,'Variable Mgmt'!T56,'Variable Mgmt'!T57,'Variable Mgmt'!T58)</f>
        <v>1.0 x 0.5</v>
      </c>
      <c r="K40" s="493">
        <f>CHOOSE(Q40,'Variable Mgmt'!U56,'Variable Mgmt'!U57,'Variable Mgmt'!U58,'Variable Mgmt'!U59,'Variable Mgmt'!U60)</f>
        <v>0.5</v>
      </c>
      <c r="L40" s="498"/>
      <c r="Q40" s="505">
        <v>1</v>
      </c>
    </row>
    <row r="41" spans="1:17" s="118" customFormat="1" ht="17.100000000000001" customHeight="1" x14ac:dyDescent="0.2">
      <c r="A41" s="119">
        <v>1</v>
      </c>
      <c r="B41" s="120" t="s">
        <v>541</v>
      </c>
      <c r="C41" s="121">
        <f>Rfb/1000</f>
        <v>246</v>
      </c>
      <c r="D41" s="670">
        <f>C41</f>
        <v>246</v>
      </c>
      <c r="E41" s="671"/>
      <c r="F41" s="671"/>
      <c r="G41" s="122" t="s">
        <v>119</v>
      </c>
      <c r="H41" s="123" t="s">
        <v>118</v>
      </c>
      <c r="I41" s="487" t="s">
        <v>118</v>
      </c>
      <c r="J41" s="495" t="str">
        <f>CHOOSE(Q41,'Variable Mgmt'!T56,'Variable Mgmt'!T57,'Variable Mgmt'!T58)</f>
        <v>1.0 x 0.5</v>
      </c>
      <c r="K41" s="493">
        <f>CHOOSE(Q41,'Variable Mgmt'!U56,'Variable Mgmt'!U57,'Variable Mgmt'!U58,'Variable Mgmt'!U59,'Variable Mgmt'!U60)</f>
        <v>0.5</v>
      </c>
      <c r="L41" s="498"/>
      <c r="Q41" s="505">
        <v>1</v>
      </c>
    </row>
    <row r="42" spans="1:17" s="118" customFormat="1" ht="17.100000000000001" customHeight="1" x14ac:dyDescent="0.2">
      <c r="A42" s="119" t="str">
        <f>CHOOSE(MODE_UVLO, "1", "-")</f>
        <v>1</v>
      </c>
      <c r="B42" s="120" t="s">
        <v>126</v>
      </c>
      <c r="C42" s="466" t="str">
        <f>CHOOSE(MODE_UVLO, 'Variable Mgmt'!H237, "-")</f>
        <v>169k</v>
      </c>
      <c r="D42" s="679" t="str">
        <f>CHOOSE(MODE_UVLO, "Resistor, Chip, "&amp;'Variable Mgmt'!C237&amp;", 1/16W, 1%", "-")</f>
        <v>Resistor, Chip, 169kΩ, 1/16W, 1%</v>
      </c>
      <c r="E42" s="680"/>
      <c r="F42" s="680"/>
      <c r="G42" s="122" t="s">
        <v>119</v>
      </c>
      <c r="H42" s="123" t="str">
        <f t="shared" ref="H42:I43" si="1">CHOOSE(MODE_UVLO, "Std", "-")</f>
        <v>Std</v>
      </c>
      <c r="I42" s="487" t="str">
        <f t="shared" si="1"/>
        <v>Std</v>
      </c>
      <c r="J42" s="495" t="str">
        <f>CHOOSE(MODE_UVLO, CHOOSE(Q42,'Variable Mgmt'!T56,'Variable Mgmt'!T57,'Variable Mgmt'!T58), "-")</f>
        <v>1.0 x 0.5</v>
      </c>
      <c r="K42" s="493">
        <f>CHOOSE(MODE_UVLO, CHOOSE(Q42,'Variable Mgmt'!U56,'Variable Mgmt'!U57,'Variable Mgmt'!U58,'Variable Mgmt'!U59,'Variable Mgmt'!U60),"-")</f>
        <v>0.5</v>
      </c>
      <c r="L42" s="498"/>
      <c r="Q42" s="505">
        <v>1</v>
      </c>
    </row>
    <row r="43" spans="1:17" s="118" customFormat="1" ht="17.100000000000001" customHeight="1" x14ac:dyDescent="0.2">
      <c r="A43" s="119" t="str">
        <f>CHOOSE(MODE_UVLO, "1", "-")</f>
        <v>1</v>
      </c>
      <c r="B43" s="120" t="s">
        <v>127</v>
      </c>
      <c r="C43" s="466" t="str">
        <f>CHOOSE(MODE_UVLO, 'Variable Mgmt'!H238, "-")</f>
        <v>84.5k</v>
      </c>
      <c r="D43" s="679" t="str">
        <f>CHOOSE(MODE_UVLO, "Resistor, Chip, "&amp;'Variable Mgmt'!C238&amp;", 1/16W, 1%", "-")</f>
        <v>Resistor, Chip, 84.5kΩ, 1/16W, 1%</v>
      </c>
      <c r="E43" s="680"/>
      <c r="F43" s="680"/>
      <c r="G43" s="122" t="s">
        <v>119</v>
      </c>
      <c r="H43" s="123" t="str">
        <f t="shared" si="1"/>
        <v>Std</v>
      </c>
      <c r="I43" s="487" t="str">
        <f t="shared" si="1"/>
        <v>Std</v>
      </c>
      <c r="J43" s="495" t="str">
        <f>CHOOSE(MODE_UVLO, CHOOSE(Q43,'Variable Mgmt'!T56,'Variable Mgmt'!T57,'Variable Mgmt'!T58), "-")</f>
        <v>1.0 x 0.5</v>
      </c>
      <c r="K43" s="493">
        <f>CHOOSE(MODE_UVLO, CHOOSE(Q43,'Variable Mgmt'!U56,'Variable Mgmt'!U57,'Variable Mgmt'!U58,'Variable Mgmt'!U59,'Variable Mgmt'!U60),"-")</f>
        <v>0.5</v>
      </c>
      <c r="L43" s="498"/>
      <c r="Q43" s="505">
        <v>1</v>
      </c>
    </row>
    <row r="44" spans="1:17" s="118" customFormat="1" ht="17.100000000000001" customHeight="1" x14ac:dyDescent="0.2">
      <c r="A44" s="119" t="str">
        <f>CHOOSE(MODE_TC, "1", "-")</f>
        <v>-</v>
      </c>
      <c r="B44" s="120" t="s">
        <v>531</v>
      </c>
      <c r="C44" s="121" t="str">
        <f>CHOOSE(MODE_TC, RTC, "-")</f>
        <v>-</v>
      </c>
      <c r="D44" s="670" t="str">
        <f>CHOOSE(MODE_TC, "Resistor, Chip, "&amp;'Variable Mgmt'!B233&amp;", 1/16W, 1%", "-")</f>
        <v>-</v>
      </c>
      <c r="E44" s="671"/>
      <c r="F44" s="671"/>
      <c r="G44" s="122" t="s">
        <v>119</v>
      </c>
      <c r="H44" s="123" t="str">
        <f>CHOOSE(MODE_TC, "Std", "-")</f>
        <v>-</v>
      </c>
      <c r="I44" s="487" t="str">
        <f>CHOOSE(MODE_TC, "Std", "-")</f>
        <v>-</v>
      </c>
      <c r="J44" s="495" t="str">
        <f>CHOOSE(MODE_TC, CHOOSE(Q44,'Variable Mgmt'!T56,'Variable Mgmt'!T377,'Variable Mgmt'!T58), "-")</f>
        <v>-</v>
      </c>
      <c r="K44" s="493" t="str">
        <f>CHOOSE(MODE_TC, CHOOSE(Q44,'Variable Mgmt'!U56,'Variable Mgmt'!U57,'Variable Mgmt'!U58,'Variable Mgmt'!U59,'Variable Mgmt'!U60),"-")</f>
        <v>-</v>
      </c>
      <c r="L44" s="498"/>
      <c r="Q44" s="505">
        <v>1</v>
      </c>
    </row>
    <row r="45" spans="1:17" s="642" customFormat="1" ht="16.5" customHeight="1" x14ac:dyDescent="0.2">
      <c r="A45" s="124">
        <v>1</v>
      </c>
      <c r="B45" s="125" t="s">
        <v>540</v>
      </c>
      <c r="C45" s="638">
        <f>'Design Converter'!L7</f>
        <v>84</v>
      </c>
      <c r="D45" s="676" t="str">
        <f>"Transformer, "&amp;L*1000000&amp;"µH, "&amp;'Variable Mgmt'!W44&amp;", "&amp;Rdcr_pri*1000&amp;"mΩ Pri DCR, "&amp;"2A Sat"</f>
        <v>Transformer, 84µH, 2 : 1, 95mΩ Pri DCR, 2A Sat</v>
      </c>
      <c r="E45" s="677"/>
      <c r="F45" s="678"/>
      <c r="G45" s="128" t="s">
        <v>125</v>
      </c>
      <c r="H45" s="128" t="s">
        <v>124</v>
      </c>
      <c r="I45" s="488" t="s">
        <v>124</v>
      </c>
      <c r="J45" s="639" t="str">
        <f>CHOOSE(Q45,'Variable Mgmt'!T65,'Variable Mgmt'!T66,'Variable Mgmt'!T67,'Variable Mgmt'!T68,'Variable Mgmt'!T69,'Variable Mgmt'!T70,'Variable Mgmt'!T71)</f>
        <v>10 x 10</v>
      </c>
      <c r="K45" s="647">
        <f>CHOOSE(Q45,'Variable Mgmt'!U65,'Variable Mgmt'!U66,'Variable Mgmt'!U67,'Variable Mgmt'!U68,'Variable Mgmt'!U69,'Variable Mgmt'!U70,'Variable Mgmt'!U71)</f>
        <v>100</v>
      </c>
      <c r="L45" s="641"/>
      <c r="Q45" s="643">
        <v>5</v>
      </c>
    </row>
    <row r="46" spans="1:17" ht="17.100000000000001" customHeight="1" x14ac:dyDescent="0.2">
      <c r="A46" s="470">
        <v>1</v>
      </c>
      <c r="B46" s="476" t="s">
        <v>128</v>
      </c>
      <c r="C46" s="497" t="s">
        <v>703</v>
      </c>
      <c r="D46" s="477" t="s">
        <v>709</v>
      </c>
      <c r="E46" s="478"/>
      <c r="F46" s="479"/>
      <c r="G46" s="475" t="s">
        <v>538</v>
      </c>
      <c r="H46" s="475" t="s">
        <v>703</v>
      </c>
      <c r="I46" s="477" t="s">
        <v>360</v>
      </c>
      <c r="J46" s="496" t="s">
        <v>358</v>
      </c>
      <c r="K46" s="494">
        <v>16</v>
      </c>
      <c r="L46" s="474"/>
      <c r="M46" s="474"/>
      <c r="N46" s="118"/>
      <c r="Q46" s="508"/>
    </row>
    <row r="47" spans="1:17" ht="17.100000000000001" customHeight="1" x14ac:dyDescent="0.2">
      <c r="J47" s="118"/>
      <c r="K47" s="484"/>
      <c r="L47" s="474"/>
      <c r="M47" s="474"/>
      <c r="N47" s="118"/>
    </row>
    <row r="48" spans="1:17" ht="17.25" customHeight="1" x14ac:dyDescent="0.25">
      <c r="H48" s="664" t="s">
        <v>362</v>
      </c>
      <c r="I48" s="664"/>
      <c r="J48" s="664"/>
      <c r="K48" s="502">
        <f>SUM(K31:K46)*1.25</f>
        <v>182.875</v>
      </c>
      <c r="L48" s="509" t="s">
        <v>364</v>
      </c>
      <c r="M48" s="503">
        <f>K48/25.4/25.4</f>
        <v>0.28345681691363389</v>
      </c>
      <c r="N48" s="509" t="s">
        <v>361</v>
      </c>
    </row>
    <row r="49" spans="1:14" ht="17.100000000000001" customHeight="1" x14ac:dyDescent="0.25">
      <c r="J49" s="489"/>
      <c r="K49" s="490"/>
      <c r="L49" s="491"/>
      <c r="M49" s="492"/>
      <c r="N49" s="491"/>
    </row>
    <row r="50" spans="1:14" ht="20.25" customHeight="1" x14ac:dyDescent="0.2">
      <c r="A50" s="483" t="s">
        <v>137</v>
      </c>
    </row>
    <row r="51" spans="1:14" x14ac:dyDescent="0.2">
      <c r="A51" s="115" t="s">
        <v>704</v>
      </c>
    </row>
    <row r="52" spans="1:14" x14ac:dyDescent="0.2">
      <c r="A52" s="115" t="s">
        <v>363</v>
      </c>
      <c r="K52" s="482"/>
    </row>
    <row r="53" spans="1:14" x14ac:dyDescent="0.2">
      <c r="A53" s="115" t="s">
        <v>649</v>
      </c>
    </row>
    <row r="54" spans="1:14" x14ac:dyDescent="0.2">
      <c r="A54" s="115" t="s">
        <v>650</v>
      </c>
    </row>
    <row r="55" spans="1:14" x14ac:dyDescent="0.2">
      <c r="A55" s="115" t="s">
        <v>664</v>
      </c>
    </row>
  </sheetData>
  <sheetProtection password="CCC8" sheet="1" objects="1" scenarios="1" selectLockedCells="1" selectUnlockedCells="1"/>
  <mergeCells count="14">
    <mergeCell ref="H48:J48"/>
    <mergeCell ref="D31:F31"/>
    <mergeCell ref="D30:F30"/>
    <mergeCell ref="D40:F40"/>
    <mergeCell ref="D41:F41"/>
    <mergeCell ref="D38:F38"/>
    <mergeCell ref="D36:F36"/>
    <mergeCell ref="D35:F35"/>
    <mergeCell ref="D45:F45"/>
    <mergeCell ref="D42:F42"/>
    <mergeCell ref="D43:F43"/>
    <mergeCell ref="D44:F44"/>
    <mergeCell ref="D32:F32"/>
    <mergeCell ref="D34:F34"/>
  </mergeCells>
  <phoneticPr fontId="82"/>
  <printOptions horizontalCentered="1"/>
  <pageMargins left="0.23" right="0.23" top="0.7" bottom="0.61" header="0.3" footer="0.5"/>
  <pageSetup scale="84" fitToHeight="2" orientation="landscape" r:id="rId1"/>
  <headerFooter alignWithMargins="0"/>
  <rowBreaks count="1" manualBreakCount="1">
    <brk id="27" max="9" man="1"/>
  </rowBreaks>
  <ignoredErrors>
    <ignoredError sqref="G34 G36 G38 G42:G43 G40" numberStoredAsText="1"/>
    <ignoredError sqref="J36:K36"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74505" r:id="rId4" name="Drop Down 713">
              <controlPr defaultSize="0" autoLine="0" autoPict="0">
                <anchor moveWithCells="1">
                  <from>
                    <xdr:col>6</xdr:col>
                    <xdr:colOff>0</xdr:colOff>
                    <xdr:row>30</xdr:row>
                    <xdr:rowOff>9525</xdr:rowOff>
                  </from>
                  <to>
                    <xdr:col>6</xdr:col>
                    <xdr:colOff>876300</xdr:colOff>
                    <xdr:row>31</xdr:row>
                    <xdr:rowOff>0</xdr:rowOff>
                  </to>
                </anchor>
              </controlPr>
            </control>
          </mc:Choice>
        </mc:AlternateContent>
        <mc:AlternateContent xmlns:mc="http://schemas.openxmlformats.org/markup-compatibility/2006">
          <mc:Choice Requires="x14">
            <control shapeId="674508" r:id="rId5" name="Drop Down 716">
              <controlPr defaultSize="0" autoLine="0" autoPict="0">
                <anchor moveWithCells="1">
                  <from>
                    <xdr:col>6</xdr:col>
                    <xdr:colOff>0</xdr:colOff>
                    <xdr:row>31</xdr:row>
                    <xdr:rowOff>9525</xdr:rowOff>
                  </from>
                  <to>
                    <xdr:col>6</xdr:col>
                    <xdr:colOff>876300</xdr:colOff>
                    <xdr:row>32</xdr:row>
                    <xdr:rowOff>0</xdr:rowOff>
                  </to>
                </anchor>
              </controlPr>
            </control>
          </mc:Choice>
        </mc:AlternateContent>
        <mc:AlternateContent xmlns:mc="http://schemas.openxmlformats.org/markup-compatibility/2006">
          <mc:Choice Requires="x14">
            <control shapeId="674527" r:id="rId6" name="Drop Down 735">
              <controlPr defaultSize="0" autoLine="0" autoPict="0">
                <anchor moveWithCells="1">
                  <from>
                    <xdr:col>6</xdr:col>
                    <xdr:colOff>0</xdr:colOff>
                    <xdr:row>35</xdr:row>
                    <xdr:rowOff>9525</xdr:rowOff>
                  </from>
                  <to>
                    <xdr:col>6</xdr:col>
                    <xdr:colOff>876300</xdr:colOff>
                    <xdr:row>36</xdr:row>
                    <xdr:rowOff>0</xdr:rowOff>
                  </to>
                </anchor>
              </controlPr>
            </control>
          </mc:Choice>
        </mc:AlternateContent>
        <mc:AlternateContent xmlns:mc="http://schemas.openxmlformats.org/markup-compatibility/2006">
          <mc:Choice Requires="x14">
            <control shapeId="674534" r:id="rId7" name="Drop Down 742">
              <controlPr defaultSize="0" autoLine="0" autoPict="0">
                <anchor moveWithCells="1">
                  <from>
                    <xdr:col>6</xdr:col>
                    <xdr:colOff>0</xdr:colOff>
                    <xdr:row>40</xdr:row>
                    <xdr:rowOff>9525</xdr:rowOff>
                  </from>
                  <to>
                    <xdr:col>6</xdr:col>
                    <xdr:colOff>876300</xdr:colOff>
                    <xdr:row>41</xdr:row>
                    <xdr:rowOff>0</xdr:rowOff>
                  </to>
                </anchor>
              </controlPr>
            </control>
          </mc:Choice>
        </mc:AlternateContent>
        <mc:AlternateContent xmlns:mc="http://schemas.openxmlformats.org/markup-compatibility/2006">
          <mc:Choice Requires="x14">
            <control shapeId="674536" r:id="rId8" name="Drop Down 744">
              <controlPr defaultSize="0" autoLine="0" autoPict="0">
                <anchor moveWithCells="1">
                  <from>
                    <xdr:col>6</xdr:col>
                    <xdr:colOff>0</xdr:colOff>
                    <xdr:row>37</xdr:row>
                    <xdr:rowOff>9525</xdr:rowOff>
                  </from>
                  <to>
                    <xdr:col>6</xdr:col>
                    <xdr:colOff>876300</xdr:colOff>
                    <xdr:row>38</xdr:row>
                    <xdr:rowOff>0</xdr:rowOff>
                  </to>
                </anchor>
              </controlPr>
            </control>
          </mc:Choice>
        </mc:AlternateContent>
        <mc:AlternateContent xmlns:mc="http://schemas.openxmlformats.org/markup-compatibility/2006">
          <mc:Choice Requires="x14">
            <control shapeId="674539" r:id="rId9" name="Drop Down 747">
              <controlPr defaultSize="0" autoLine="0" autoPict="0">
                <anchor moveWithCells="1">
                  <from>
                    <xdr:col>6</xdr:col>
                    <xdr:colOff>0</xdr:colOff>
                    <xdr:row>36</xdr:row>
                    <xdr:rowOff>9525</xdr:rowOff>
                  </from>
                  <to>
                    <xdr:col>6</xdr:col>
                    <xdr:colOff>876300</xdr:colOff>
                    <xdr:row>37</xdr:row>
                    <xdr:rowOff>0</xdr:rowOff>
                  </to>
                </anchor>
              </controlPr>
            </control>
          </mc:Choice>
        </mc:AlternateContent>
        <mc:AlternateContent xmlns:mc="http://schemas.openxmlformats.org/markup-compatibility/2006">
          <mc:Choice Requires="x14">
            <control shapeId="674540" r:id="rId10" name="Drop Down 748">
              <controlPr defaultSize="0" autoLine="0" autoPict="0">
                <anchor moveWithCells="1">
                  <from>
                    <xdr:col>6</xdr:col>
                    <xdr:colOff>0</xdr:colOff>
                    <xdr:row>39</xdr:row>
                    <xdr:rowOff>9525</xdr:rowOff>
                  </from>
                  <to>
                    <xdr:col>6</xdr:col>
                    <xdr:colOff>876300</xdr:colOff>
                    <xdr:row>40</xdr:row>
                    <xdr:rowOff>0</xdr:rowOff>
                  </to>
                </anchor>
              </controlPr>
            </control>
          </mc:Choice>
        </mc:AlternateContent>
        <mc:AlternateContent xmlns:mc="http://schemas.openxmlformats.org/markup-compatibility/2006">
          <mc:Choice Requires="x14">
            <control shapeId="674541" r:id="rId11" name="Drop Down 749">
              <controlPr defaultSize="0" autoLine="0" autoPict="0">
                <anchor moveWithCells="1">
                  <from>
                    <xdr:col>6</xdr:col>
                    <xdr:colOff>0</xdr:colOff>
                    <xdr:row>41</xdr:row>
                    <xdr:rowOff>9525</xdr:rowOff>
                  </from>
                  <to>
                    <xdr:col>6</xdr:col>
                    <xdr:colOff>876300</xdr:colOff>
                    <xdr:row>42</xdr:row>
                    <xdr:rowOff>0</xdr:rowOff>
                  </to>
                </anchor>
              </controlPr>
            </control>
          </mc:Choice>
        </mc:AlternateContent>
        <mc:AlternateContent xmlns:mc="http://schemas.openxmlformats.org/markup-compatibility/2006">
          <mc:Choice Requires="x14">
            <control shapeId="674542" r:id="rId12" name="Drop Down 750">
              <controlPr defaultSize="0" autoLine="0" autoPict="0">
                <anchor moveWithCells="1">
                  <from>
                    <xdr:col>6</xdr:col>
                    <xdr:colOff>0</xdr:colOff>
                    <xdr:row>42</xdr:row>
                    <xdr:rowOff>9525</xdr:rowOff>
                  </from>
                  <to>
                    <xdr:col>6</xdr:col>
                    <xdr:colOff>876300</xdr:colOff>
                    <xdr:row>43</xdr:row>
                    <xdr:rowOff>0</xdr:rowOff>
                  </to>
                </anchor>
              </controlPr>
            </control>
          </mc:Choice>
        </mc:AlternateContent>
        <mc:AlternateContent xmlns:mc="http://schemas.openxmlformats.org/markup-compatibility/2006">
          <mc:Choice Requires="x14">
            <control shapeId="674543" r:id="rId13" name="Drop Down 751">
              <controlPr defaultSize="0" autoLine="0" autoPict="0">
                <anchor moveWithCells="1">
                  <from>
                    <xdr:col>6</xdr:col>
                    <xdr:colOff>0</xdr:colOff>
                    <xdr:row>43</xdr:row>
                    <xdr:rowOff>9525</xdr:rowOff>
                  </from>
                  <to>
                    <xdr:col>6</xdr:col>
                    <xdr:colOff>876300</xdr:colOff>
                    <xdr:row>44</xdr:row>
                    <xdr:rowOff>0</xdr:rowOff>
                  </to>
                </anchor>
              </controlPr>
            </control>
          </mc:Choice>
        </mc:AlternateContent>
        <mc:AlternateContent xmlns:mc="http://schemas.openxmlformats.org/markup-compatibility/2006">
          <mc:Choice Requires="x14">
            <control shapeId="674544" r:id="rId14" name="Drop Down 752">
              <controlPr defaultSize="0" autoLine="0" autoPict="0">
                <anchor moveWithCells="1">
                  <from>
                    <xdr:col>6</xdr:col>
                    <xdr:colOff>0</xdr:colOff>
                    <xdr:row>34</xdr:row>
                    <xdr:rowOff>9525</xdr:rowOff>
                  </from>
                  <to>
                    <xdr:col>6</xdr:col>
                    <xdr:colOff>876300</xdr:colOff>
                    <xdr:row>35</xdr:row>
                    <xdr:rowOff>0</xdr:rowOff>
                  </to>
                </anchor>
              </controlPr>
            </control>
          </mc:Choice>
        </mc:AlternateContent>
        <mc:AlternateContent xmlns:mc="http://schemas.openxmlformats.org/markup-compatibility/2006">
          <mc:Choice Requires="x14">
            <control shapeId="674632" r:id="rId15" name="Drop Down 840">
              <controlPr defaultSize="0" autoLine="0" autoPict="0">
                <anchor moveWithCells="1">
                  <from>
                    <xdr:col>6</xdr:col>
                    <xdr:colOff>0</xdr:colOff>
                    <xdr:row>44</xdr:row>
                    <xdr:rowOff>9525</xdr:rowOff>
                  </from>
                  <to>
                    <xdr:col>6</xdr:col>
                    <xdr:colOff>876300</xdr:colOff>
                    <xdr:row>45</xdr:row>
                    <xdr:rowOff>0</xdr:rowOff>
                  </to>
                </anchor>
              </controlPr>
            </control>
          </mc:Choice>
        </mc:AlternateContent>
        <mc:AlternateContent xmlns:mc="http://schemas.openxmlformats.org/markup-compatibility/2006">
          <mc:Choice Requires="x14">
            <control shapeId="674633" r:id="rId16" name="Drop Down 841">
              <controlPr defaultSize="0" autoLine="0" autoPict="0">
                <anchor moveWithCells="1">
                  <from>
                    <xdr:col>6</xdr:col>
                    <xdr:colOff>0</xdr:colOff>
                    <xdr:row>33</xdr:row>
                    <xdr:rowOff>9525</xdr:rowOff>
                  </from>
                  <to>
                    <xdr:col>6</xdr:col>
                    <xdr:colOff>876300</xdr:colOff>
                    <xdr:row>34</xdr:row>
                    <xdr:rowOff>0</xdr:rowOff>
                  </to>
                </anchor>
              </controlPr>
            </control>
          </mc:Choice>
        </mc:AlternateContent>
        <mc:AlternateContent xmlns:mc="http://schemas.openxmlformats.org/markup-compatibility/2006">
          <mc:Choice Requires="x14">
            <control shapeId="706019" r:id="rId17" name="Drop Down 1507">
              <controlPr defaultSize="0" autoLine="0" autoPict="0">
                <anchor moveWithCells="1">
                  <from>
                    <xdr:col>5</xdr:col>
                    <xdr:colOff>895350</xdr:colOff>
                    <xdr:row>32</xdr:row>
                    <xdr:rowOff>9525</xdr:rowOff>
                  </from>
                  <to>
                    <xdr:col>6</xdr:col>
                    <xdr:colOff>866775</xdr:colOff>
                    <xdr:row>33</xdr:row>
                    <xdr:rowOff>0</xdr:rowOff>
                  </to>
                </anchor>
              </controlPr>
            </control>
          </mc:Choice>
        </mc:AlternateContent>
        <mc:AlternateContent xmlns:mc="http://schemas.openxmlformats.org/markup-compatibility/2006">
          <mc:Choice Requires="x14">
            <control shapeId="706028" r:id="rId18" name="Drop Down 1516">
              <controlPr defaultSize="0" autoLine="0" autoPict="0">
                <anchor moveWithCells="1">
                  <from>
                    <xdr:col>6</xdr:col>
                    <xdr:colOff>0</xdr:colOff>
                    <xdr:row>38</xdr:row>
                    <xdr:rowOff>9525</xdr:rowOff>
                  </from>
                  <to>
                    <xdr:col>6</xdr:col>
                    <xdr:colOff>876300</xdr:colOff>
                    <xdr:row>39</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4B8E3D35-A815-4471-905F-8419AAA9FC23}">
            <xm:f>'Variable Mgmt'!$B$52=TRUE</xm:f>
            <x14:dxf>
              <font>
                <color theme="0"/>
              </font>
            </x14:dxf>
          </x14:cfRule>
          <xm:sqref>B36</xm:sqref>
        </x14:conditionalFormatting>
        <x14:conditionalFormatting xmlns:xm="http://schemas.microsoft.com/office/excel/2006/main">
          <x14:cfRule type="expression" priority="1" id="{8521D621-BE3D-4AAE-900E-18DA0D0FAC8E}">
            <xm:f>'Variable Mgmt'!$B$52=TRUE</xm:f>
            <x14:dxf>
              <font>
                <color rgb="FFFFFF99"/>
              </font>
            </x14:dxf>
          </x14:cfRule>
          <xm:sqref>B33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7030A0"/>
    <pageSetUpPr fitToPage="1"/>
  </sheetPr>
  <dimension ref="A1:R6"/>
  <sheetViews>
    <sheetView topLeftCell="A13" zoomScaleNormal="100" workbookViewId="0">
      <selection activeCell="A5" sqref="A5"/>
    </sheetView>
  </sheetViews>
  <sheetFormatPr defaultColWidth="9.140625" defaultRowHeight="12.75" x14ac:dyDescent="0.2"/>
  <cols>
    <col min="1" max="13" width="9.140625" style="85"/>
    <col min="14" max="14" width="11.85546875" style="85" customWidth="1"/>
    <col min="15" max="16" width="9.140625" style="85"/>
    <col min="17" max="17" width="15.7109375" style="85" customWidth="1"/>
    <col min="18" max="16384" width="9.140625" style="85"/>
  </cols>
  <sheetData>
    <row r="1" spans="1:18" s="76" customFormat="1" ht="47.25" customHeight="1" x14ac:dyDescent="0.2">
      <c r="A1" s="685" t="s">
        <v>705</v>
      </c>
      <c r="B1" s="686"/>
      <c r="C1" s="686"/>
      <c r="D1" s="686"/>
      <c r="E1" s="686"/>
      <c r="F1" s="686"/>
      <c r="G1" s="686"/>
      <c r="H1" s="686"/>
      <c r="I1" s="686"/>
      <c r="J1" s="686"/>
      <c r="K1" s="686"/>
      <c r="L1" s="686"/>
      <c r="M1" s="686"/>
      <c r="N1" s="686"/>
      <c r="O1" s="686"/>
      <c r="P1" s="686"/>
      <c r="Q1" s="686"/>
      <c r="R1" s="83"/>
    </row>
    <row r="6" spans="1:18" ht="20.25" x14ac:dyDescent="0.3">
      <c r="B6" s="86" t="s">
        <v>693</v>
      </c>
      <c r="N6" s="86" t="s">
        <v>690</v>
      </c>
    </row>
  </sheetData>
  <sheetProtection password="CCC8" sheet="1" objects="1" scenarios="1"/>
  <mergeCells count="1">
    <mergeCell ref="A1:Q1"/>
  </mergeCells>
  <phoneticPr fontId="82"/>
  <pageMargins left="0.19" right="0.2"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00FF"/>
  </sheetPr>
  <dimension ref="A1:Z275"/>
  <sheetViews>
    <sheetView workbookViewId="0">
      <pane ySplit="5" topLeftCell="A6" activePane="bottomLeft" state="frozenSplit"/>
      <selection pane="bottomLeft" activeCell="B34" sqref="B34"/>
    </sheetView>
  </sheetViews>
  <sheetFormatPr defaultRowHeight="12.75" x14ac:dyDescent="0.2"/>
  <cols>
    <col min="1" max="1" width="40.42578125" customWidth="1"/>
    <col min="2" max="2" width="11.85546875" customWidth="1"/>
    <col min="3" max="3" width="9.42578125" style="3" customWidth="1"/>
    <col min="4" max="4" width="10.28515625" customWidth="1"/>
    <col min="5" max="5" width="11.5703125" customWidth="1"/>
    <col min="6" max="6" width="14.85546875" customWidth="1"/>
    <col min="7" max="7" width="12.42578125" bestFit="1" customWidth="1"/>
    <col min="8" max="8" width="20.140625" customWidth="1"/>
    <col min="9" max="9" width="14.42578125" customWidth="1"/>
    <col min="10" max="10" width="12.42578125" bestFit="1" customWidth="1"/>
    <col min="11" max="11" width="12" customWidth="1"/>
    <col min="12" max="12" width="8.85546875" customWidth="1"/>
    <col min="13" max="13" width="7" customWidth="1"/>
    <col min="14" max="14" width="9.28515625" customWidth="1"/>
    <col min="16" max="16" width="7.140625" customWidth="1"/>
    <col min="17" max="17" width="11" customWidth="1"/>
    <col min="18" max="18" width="13.85546875" customWidth="1"/>
    <col min="19" max="19" width="5.42578125" customWidth="1"/>
    <col min="20" max="20" width="16.28515625" customWidth="1"/>
    <col min="22" max="22" width="9.7109375" customWidth="1"/>
    <col min="23" max="23" width="11.28515625" customWidth="1"/>
    <col min="24" max="24" width="5.85546875" customWidth="1"/>
    <col min="26" max="26" width="7.85546875" customWidth="1"/>
  </cols>
  <sheetData>
    <row r="1" spans="1:12" ht="30.75" customHeight="1" x14ac:dyDescent="0.4">
      <c r="A1" s="688" t="s">
        <v>172</v>
      </c>
      <c r="B1" s="688"/>
      <c r="C1" s="688"/>
      <c r="D1" s="688"/>
      <c r="E1" s="688"/>
      <c r="F1" s="688"/>
      <c r="G1" s="688"/>
      <c r="H1" s="688"/>
      <c r="I1" s="688"/>
    </row>
    <row r="2" spans="1:12" ht="12" customHeight="1" x14ac:dyDescent="0.2">
      <c r="A2" s="19"/>
      <c r="B2" s="19" t="s">
        <v>81</v>
      </c>
      <c r="C2" s="20"/>
      <c r="E2" s="19"/>
      <c r="F2" s="19"/>
      <c r="G2" s="19"/>
      <c r="H2" s="19"/>
      <c r="I2" s="19"/>
    </row>
    <row r="3" spans="1:12" ht="11.25" customHeight="1" x14ac:dyDescent="0.2">
      <c r="A3" s="19"/>
      <c r="B3" s="19" t="s">
        <v>100</v>
      </c>
      <c r="C3" s="21"/>
      <c r="E3" s="19"/>
      <c r="F3" s="19"/>
      <c r="G3" s="19"/>
      <c r="H3" s="19"/>
      <c r="I3" s="19"/>
    </row>
    <row r="4" spans="1:12" ht="11.25" customHeight="1" x14ac:dyDescent="0.2">
      <c r="A4" s="19"/>
      <c r="B4" s="19" t="s">
        <v>82</v>
      </c>
      <c r="C4" s="22"/>
      <c r="E4" s="19"/>
      <c r="F4" s="19"/>
      <c r="G4" s="19"/>
      <c r="H4" s="19"/>
      <c r="I4" s="19"/>
    </row>
    <row r="5" spans="1:12" x14ac:dyDescent="0.2">
      <c r="A5" s="3" t="s">
        <v>19</v>
      </c>
      <c r="B5" s="3" t="s">
        <v>6</v>
      </c>
      <c r="C5" s="3" t="s">
        <v>7</v>
      </c>
      <c r="E5" s="687" t="s">
        <v>9</v>
      </c>
      <c r="F5" s="687"/>
      <c r="G5" s="687"/>
      <c r="H5" s="687"/>
      <c r="I5" s="3" t="s">
        <v>174</v>
      </c>
    </row>
    <row r="6" spans="1:12" ht="16.5" thickBot="1" x14ac:dyDescent="0.3">
      <c r="A6" s="51" t="s">
        <v>61</v>
      </c>
      <c r="B6" s="40"/>
      <c r="C6" s="40"/>
      <c r="D6" s="40"/>
      <c r="E6" s="52"/>
      <c r="F6" s="52"/>
      <c r="G6" s="52"/>
      <c r="H6" s="52"/>
      <c r="I6" s="40"/>
    </row>
    <row r="7" spans="1:12" x14ac:dyDescent="0.2">
      <c r="A7" s="110" t="s">
        <v>145</v>
      </c>
      <c r="B7" s="9">
        <f>'Design Converter'!E6</f>
        <v>21.6</v>
      </c>
      <c r="C7" s="31" t="s">
        <v>0</v>
      </c>
      <c r="D7" s="80" t="s">
        <v>146</v>
      </c>
      <c r="E7" s="31"/>
      <c r="F7" s="31"/>
      <c r="G7" s="31"/>
      <c r="H7" s="31"/>
      <c r="I7" s="32">
        <v>1</v>
      </c>
    </row>
    <row r="8" spans="1:12" x14ac:dyDescent="0.2">
      <c r="A8" s="111" t="s">
        <v>143</v>
      </c>
      <c r="B8" s="10">
        <f>'Design Converter'!E7</f>
        <v>24</v>
      </c>
      <c r="C8" s="7" t="s">
        <v>0</v>
      </c>
      <c r="D8" s="7" t="s">
        <v>10</v>
      </c>
      <c r="F8" s="7"/>
      <c r="G8" s="7"/>
      <c r="H8" s="7"/>
      <c r="I8" s="25"/>
    </row>
    <row r="9" spans="1:12" x14ac:dyDescent="0.2">
      <c r="A9" s="111" t="s">
        <v>144</v>
      </c>
      <c r="B9" s="10">
        <f>'Design Converter'!E8</f>
        <v>26.4</v>
      </c>
      <c r="C9" s="7" t="s">
        <v>0</v>
      </c>
      <c r="D9" s="78" t="s">
        <v>147</v>
      </c>
      <c r="F9" s="7"/>
      <c r="G9" s="7"/>
      <c r="H9" s="7"/>
      <c r="I9" s="25"/>
    </row>
    <row r="10" spans="1:12" x14ac:dyDescent="0.2">
      <c r="A10" s="111"/>
      <c r="B10" s="210"/>
      <c r="C10" s="61"/>
      <c r="D10" s="78"/>
      <c r="F10" s="7"/>
      <c r="G10" s="7"/>
      <c r="H10" s="7"/>
      <c r="I10" s="25"/>
    </row>
    <row r="11" spans="1:12" x14ac:dyDescent="0.2">
      <c r="A11" s="24" t="s">
        <v>4</v>
      </c>
      <c r="B11" s="10">
        <f>'Design Converter'!E10</f>
        <v>12</v>
      </c>
      <c r="C11" s="7" t="s">
        <v>0</v>
      </c>
      <c r="D11" s="78" t="s">
        <v>581</v>
      </c>
      <c r="F11" s="7"/>
      <c r="G11" s="7">
        <f>(Vout+Vfwd1)*Nps</f>
        <v>24.5</v>
      </c>
      <c r="H11" s="7"/>
      <c r="I11" s="25">
        <v>1</v>
      </c>
      <c r="K11" t="str">
        <f>'Variable Mgmt'!B51&amp;" Output PSR Flyback Converter, "&amp;"VIN = "&amp;Vin&amp;" V, VOUT = "&amp;Vout&amp;" V, IOUT = "&amp;Iout&amp;" A"</f>
        <v>SINGLE Output PSR Flyback Converter, VIN = 24 V, VOUT = 12 V, IOUT = 0.4 A</v>
      </c>
    </row>
    <row r="12" spans="1:12" x14ac:dyDescent="0.2">
      <c r="A12" s="24" t="s">
        <v>5</v>
      </c>
      <c r="B12" s="592">
        <f>'Design Converter'!E11</f>
        <v>0.4</v>
      </c>
      <c r="C12" s="78" t="s">
        <v>1</v>
      </c>
      <c r="D12" s="78" t="s">
        <v>673</v>
      </c>
      <c r="F12" s="7"/>
      <c r="G12" s="7"/>
      <c r="H12" s="7"/>
      <c r="I12" s="25">
        <v>1</v>
      </c>
      <c r="K12" t="str">
        <f>'Variable Mgmt'!B51&amp;" Output PSR Flyback Converter, "&amp;"VIN = "&amp;Vin&amp;" V, VOUT1 = "&amp;Vout&amp;" V, IOUT1 = "&amp;Iout&amp;" A"&amp;", VOUT2 = "&amp;Vout2_actual&amp;" V, IOUT2 = "&amp;Iout2_actual&amp;" A"</f>
        <v>SINGLE Output PSR Flyback Converter, VIN = 24 V, VOUT1 = 12 V, IOUT1 = 0.4 A, VOUT2 = -12 V, IOUT2 = -0.2 A</v>
      </c>
      <c r="L12" s="77"/>
    </row>
    <row r="13" spans="1:12" x14ac:dyDescent="0.2">
      <c r="A13" s="111" t="s">
        <v>169</v>
      </c>
      <c r="B13" s="158">
        <f>Vout/Iout</f>
        <v>30</v>
      </c>
      <c r="C13" s="114" t="s">
        <v>45</v>
      </c>
      <c r="D13" s="112" t="s">
        <v>170</v>
      </c>
      <c r="F13" s="7"/>
      <c r="G13" s="7"/>
      <c r="H13" s="7"/>
      <c r="I13" s="25"/>
    </row>
    <row r="14" spans="1:12" x14ac:dyDescent="0.2">
      <c r="A14" s="111" t="s">
        <v>153</v>
      </c>
      <c r="B14" s="591">
        <f>Vout*Iout</f>
        <v>4.8000000000000007</v>
      </c>
      <c r="C14" s="61" t="s">
        <v>45</v>
      </c>
      <c r="D14" s="112" t="s">
        <v>159</v>
      </c>
      <c r="F14" s="7"/>
      <c r="G14" s="7"/>
      <c r="H14" s="7"/>
      <c r="I14" s="25"/>
      <c r="L14" s="77"/>
    </row>
    <row r="15" spans="1:12" x14ac:dyDescent="0.2">
      <c r="B15" s="377"/>
      <c r="C15" s="61"/>
      <c r="D15" s="112"/>
      <c r="F15" s="7"/>
      <c r="G15" s="7"/>
      <c r="H15" s="7"/>
      <c r="I15" s="25"/>
      <c r="L15" s="77"/>
    </row>
    <row r="16" spans="1:12" x14ac:dyDescent="0.2">
      <c r="A16" s="111" t="s">
        <v>627</v>
      </c>
      <c r="B16" s="593">
        <f>ABS('Design Converter'!E12)</f>
        <v>12</v>
      </c>
      <c r="C16" s="7" t="s">
        <v>0</v>
      </c>
      <c r="D16" s="78" t="s">
        <v>583</v>
      </c>
      <c r="F16" s="7"/>
      <c r="G16" s="7"/>
      <c r="H16" s="7"/>
      <c r="I16" s="25"/>
      <c r="L16" s="77"/>
    </row>
    <row r="17" spans="1:23" x14ac:dyDescent="0.2">
      <c r="A17" s="111" t="s">
        <v>628</v>
      </c>
      <c r="B17" s="636">
        <f>'Design Converter'!E12</f>
        <v>-12</v>
      </c>
      <c r="C17" s="61" t="s">
        <v>0</v>
      </c>
      <c r="D17" s="78"/>
      <c r="F17" s="7"/>
      <c r="G17" s="7"/>
      <c r="H17" s="7"/>
      <c r="I17" s="25"/>
      <c r="L17" s="77"/>
    </row>
    <row r="18" spans="1:23" x14ac:dyDescent="0.2">
      <c r="A18" s="111" t="s">
        <v>512</v>
      </c>
      <c r="B18" s="593">
        <f>ABS('Design Converter'!E13)</f>
        <v>0.2</v>
      </c>
      <c r="C18" s="78" t="s">
        <v>1</v>
      </c>
      <c r="D18" s="78" t="s">
        <v>582</v>
      </c>
      <c r="F18" s="7"/>
      <c r="G18" s="7"/>
      <c r="H18" s="7"/>
      <c r="I18" s="25"/>
      <c r="L18" s="77"/>
    </row>
    <row r="19" spans="1:23" x14ac:dyDescent="0.2">
      <c r="A19" s="112" t="s">
        <v>672</v>
      </c>
      <c r="B19">
        <f>Iout2*SIGN(Vout2_actual)</f>
        <v>-0.2</v>
      </c>
      <c r="C19" s="77" t="s">
        <v>1</v>
      </c>
      <c r="F19" s="7"/>
      <c r="G19" s="7"/>
      <c r="H19" s="7"/>
      <c r="I19" s="25"/>
      <c r="L19" s="77"/>
    </row>
    <row r="20" spans="1:23" x14ac:dyDescent="0.2">
      <c r="A20" s="111" t="s">
        <v>513</v>
      </c>
      <c r="B20" s="591">
        <f>ABS(Vout2/Iout2)</f>
        <v>60</v>
      </c>
      <c r="C20" s="114" t="s">
        <v>45</v>
      </c>
      <c r="D20" s="112" t="s">
        <v>515</v>
      </c>
      <c r="F20" s="7"/>
      <c r="G20" s="7"/>
      <c r="H20" s="7"/>
      <c r="I20" s="25"/>
      <c r="K20" s="77" t="s">
        <v>547</v>
      </c>
      <c r="L20" s="77" t="s">
        <v>548</v>
      </c>
    </row>
    <row r="21" spans="1:23" x14ac:dyDescent="0.2">
      <c r="A21" s="111" t="s">
        <v>514</v>
      </c>
      <c r="B21" s="591">
        <f>ABS(Vout2*Iout2)</f>
        <v>2.4000000000000004</v>
      </c>
      <c r="C21" s="61" t="s">
        <v>45</v>
      </c>
      <c r="D21" s="112" t="s">
        <v>516</v>
      </c>
      <c r="F21" s="7"/>
      <c r="G21" s="7"/>
      <c r="H21" s="7"/>
      <c r="I21" s="25"/>
      <c r="K21">
        <v>5</v>
      </c>
      <c r="L21" s="77">
        <v>-5</v>
      </c>
    </row>
    <row r="22" spans="1:23" x14ac:dyDescent="0.2">
      <c r="A22" s="111" t="s">
        <v>517</v>
      </c>
      <c r="B22" s="591">
        <f>CHOOSE(MODE, Pout, Pout + Pout2)</f>
        <v>4.8000000000000007</v>
      </c>
      <c r="C22" s="61" t="s">
        <v>45</v>
      </c>
      <c r="D22" s="112" t="s">
        <v>518</v>
      </c>
      <c r="F22" s="7"/>
      <c r="G22" s="7"/>
      <c r="H22" s="7"/>
      <c r="I22" s="25"/>
      <c r="K22">
        <v>0.2</v>
      </c>
      <c r="L22" s="77">
        <v>0.2</v>
      </c>
    </row>
    <row r="23" spans="1:23" x14ac:dyDescent="0.2">
      <c r="A23" s="111"/>
      <c r="B23" s="377"/>
      <c r="C23" s="61"/>
      <c r="D23" s="112"/>
      <c r="F23" s="7"/>
      <c r="G23" s="7"/>
      <c r="H23" s="7"/>
      <c r="I23" s="25"/>
      <c r="L23" s="77"/>
    </row>
    <row r="24" spans="1:23" x14ac:dyDescent="0.2">
      <c r="A24" s="34" t="str">
        <f>CHOOSE(MODE, "Turns Ratio, PRI : SEC", "Turns Ratio, PRI : SEC1")</f>
        <v>Turns Ratio, PRI : SEC</v>
      </c>
      <c r="B24" s="574" t="str">
        <f>Nps</f>
        <v>2</v>
      </c>
      <c r="C24" s="61"/>
      <c r="D24" s="112" t="str">
        <f>CHOOSE(MODE, "TR primary-secondary (single output) = Np/Ns", "TR primary-secondary1 (dual output) = Np/Nsec1")</f>
        <v>TR primary-secondary (single output) = Np/Ns</v>
      </c>
      <c r="F24" s="7"/>
      <c r="G24" s="7"/>
      <c r="H24" s="7"/>
      <c r="I24" s="25"/>
      <c r="L24" s="77"/>
    </row>
    <row r="25" spans="1:23" x14ac:dyDescent="0.2">
      <c r="A25" s="34" t="s">
        <v>595</v>
      </c>
      <c r="B25" s="178">
        <f>Npri_sec2</f>
        <v>2</v>
      </c>
      <c r="D25" s="112" t="s">
        <v>596</v>
      </c>
      <c r="F25" s="7"/>
      <c r="G25" s="7"/>
      <c r="H25" s="7"/>
      <c r="I25" s="25"/>
      <c r="L25" s="77"/>
    </row>
    <row r="26" spans="1:23" x14ac:dyDescent="0.2">
      <c r="A26" s="34" t="s">
        <v>608</v>
      </c>
      <c r="B26" s="635">
        <f>Nsec1sec2</f>
        <v>1</v>
      </c>
      <c r="D26" s="77" t="s">
        <v>597</v>
      </c>
      <c r="F26" s="7"/>
      <c r="G26" s="7"/>
      <c r="H26" s="7"/>
      <c r="I26" s="25"/>
      <c r="L26" s="77"/>
      <c r="R26" s="162" t="s">
        <v>400</v>
      </c>
      <c r="V26" s="162" t="s">
        <v>400</v>
      </c>
    </row>
    <row r="27" spans="1:23" x14ac:dyDescent="0.2">
      <c r="H27" s="7"/>
      <c r="I27" s="25"/>
      <c r="K27" s="162" t="s">
        <v>546</v>
      </c>
      <c r="R27" s="162" t="s">
        <v>590</v>
      </c>
      <c r="V27" s="162" t="s">
        <v>591</v>
      </c>
    </row>
    <row r="28" spans="1:23" x14ac:dyDescent="0.2">
      <c r="A28" s="77" t="s">
        <v>629</v>
      </c>
      <c r="B28" s="5">
        <f>Vout+VIN_max/Nps</f>
        <v>25.2</v>
      </c>
      <c r="C28" s="77" t="s">
        <v>0</v>
      </c>
      <c r="G28" s="7"/>
      <c r="H28" s="7"/>
      <c r="I28" s="25"/>
      <c r="K28" s="77" t="s">
        <v>543</v>
      </c>
      <c r="L28">
        <v>1</v>
      </c>
      <c r="R28" t="str">
        <f>"5 : 1"</f>
        <v>5 : 1</v>
      </c>
      <c r="S28">
        <v>1</v>
      </c>
      <c r="V28" t="str">
        <f>CHOOSE(MODE, "Functional", "5 : 1")</f>
        <v>Functional</v>
      </c>
      <c r="W28">
        <v>1</v>
      </c>
    </row>
    <row r="29" spans="1:23" x14ac:dyDescent="0.2">
      <c r="F29" s="7"/>
      <c r="G29" s="7"/>
      <c r="H29" s="7"/>
      <c r="I29" s="25"/>
      <c r="K29" s="77" t="s">
        <v>544</v>
      </c>
      <c r="L29">
        <v>2</v>
      </c>
      <c r="R29" t="str">
        <f>"4 : 1"</f>
        <v>4 : 1</v>
      </c>
      <c r="S29">
        <v>2</v>
      </c>
      <c r="V29" t="str">
        <f>CHOOSE(MODE, "Basic", "4 : 1")</f>
        <v>Basic</v>
      </c>
      <c r="W29">
        <v>2</v>
      </c>
    </row>
    <row r="30" spans="1:23" x14ac:dyDescent="0.2">
      <c r="A30" s="111" t="s">
        <v>447</v>
      </c>
      <c r="B30" s="376">
        <f>1%*Vout*1000</f>
        <v>120</v>
      </c>
      <c r="C30" s="61" t="s">
        <v>149</v>
      </c>
      <c r="D30" s="112" t="s">
        <v>465</v>
      </c>
      <c r="F30" s="7"/>
      <c r="G30" s="7"/>
      <c r="H30" s="7"/>
      <c r="I30" s="25"/>
      <c r="K30" s="77" t="s">
        <v>545</v>
      </c>
      <c r="L30">
        <v>3</v>
      </c>
      <c r="R30" t="str">
        <f>"3 : 1"</f>
        <v>3 : 1</v>
      </c>
      <c r="S30">
        <v>3</v>
      </c>
      <c r="V30" t="str">
        <f>CHOOSE(MODE, "Reinforced", "3 : 1")</f>
        <v>Reinforced</v>
      </c>
      <c r="W30">
        <v>3</v>
      </c>
    </row>
    <row r="31" spans="1:23" x14ac:dyDescent="0.2">
      <c r="A31" s="111" t="s">
        <v>565</v>
      </c>
      <c r="B31" s="376">
        <f>1%*Vout2*1000</f>
        <v>120</v>
      </c>
      <c r="C31" s="61" t="s">
        <v>149</v>
      </c>
      <c r="D31" s="112" t="s">
        <v>564</v>
      </c>
      <c r="F31" s="7"/>
      <c r="G31" s="7"/>
      <c r="H31" s="7"/>
      <c r="I31" s="25"/>
      <c r="Q31" s="534"/>
      <c r="R31" t="str">
        <f>"2 : 1"</f>
        <v>2 : 1</v>
      </c>
      <c r="S31">
        <v>4</v>
      </c>
      <c r="V31" t="str">
        <f>CHOOSE(MODE, "", "2 : 1")</f>
        <v/>
      </c>
      <c r="W31">
        <v>4</v>
      </c>
    </row>
    <row r="32" spans="1:23" x14ac:dyDescent="0.2">
      <c r="F32" s="7"/>
      <c r="G32" s="7"/>
      <c r="H32" s="7"/>
      <c r="I32" s="25"/>
      <c r="R32" t="str">
        <f>"1.5 : 1"</f>
        <v>1.5 : 1</v>
      </c>
      <c r="S32">
        <v>5</v>
      </c>
      <c r="V32" t="str">
        <f>CHOOSE(MODE, "", "1 : 1")</f>
        <v/>
      </c>
      <c r="W32">
        <v>5</v>
      </c>
    </row>
    <row r="33" spans="1:23" x14ac:dyDescent="0.2">
      <c r="A33" s="111" t="s">
        <v>47</v>
      </c>
      <c r="B33" s="637">
        <f>IF(Vout&gt;5, 95%, 90%)</f>
        <v>0.95</v>
      </c>
      <c r="C33" s="61"/>
      <c r="D33" s="78" t="s">
        <v>176</v>
      </c>
      <c r="F33" s="7"/>
      <c r="G33" s="7"/>
      <c r="H33" s="7"/>
      <c r="I33" s="25"/>
      <c r="R33" t="str">
        <f>"1 : 1"</f>
        <v>1 : 1</v>
      </c>
      <c r="S33">
        <v>6</v>
      </c>
      <c r="V33" t="str">
        <f>CHOOSE(MODE, "", "1 : 2")</f>
        <v/>
      </c>
      <c r="W33">
        <v>6</v>
      </c>
    </row>
    <row r="34" spans="1:23" x14ac:dyDescent="0.2">
      <c r="A34" s="111" t="s">
        <v>157</v>
      </c>
      <c r="B34" s="426">
        <f>Pout/Efficiency</f>
        <v>5.052631578947369</v>
      </c>
      <c r="C34" s="61" t="s">
        <v>45</v>
      </c>
      <c r="D34" s="112" t="s">
        <v>466</v>
      </c>
      <c r="F34" s="7"/>
      <c r="G34" s="7"/>
      <c r="H34" s="7"/>
      <c r="I34" s="25"/>
      <c r="R34" t="str">
        <f>"1 : 1.5"</f>
        <v>1 : 1.5</v>
      </c>
      <c r="S34">
        <v>7</v>
      </c>
      <c r="V34" t="str">
        <f>CHOOSE(MODE, "", "1 : 3")</f>
        <v/>
      </c>
      <c r="W34">
        <v>7</v>
      </c>
    </row>
    <row r="35" spans="1:23" x14ac:dyDescent="0.2">
      <c r="A35" s="111" t="s">
        <v>154</v>
      </c>
      <c r="B35" s="167">
        <f>Pin/VIN_min</f>
        <v>0.23391812865497078</v>
      </c>
      <c r="C35" s="61" t="s">
        <v>1</v>
      </c>
      <c r="D35" s="78"/>
      <c r="F35" s="7"/>
      <c r="G35" s="7"/>
      <c r="H35" s="7"/>
      <c r="I35" s="25"/>
      <c r="R35" t="str">
        <f>"1 : 2"</f>
        <v>1 : 2</v>
      </c>
      <c r="S35">
        <v>8</v>
      </c>
      <c r="V35" t="str">
        <f>CHOOSE(MODE, "", "1 : 4")</f>
        <v/>
      </c>
      <c r="W35">
        <v>8</v>
      </c>
    </row>
    <row r="36" spans="1:23" x14ac:dyDescent="0.2">
      <c r="A36" s="111" t="s">
        <v>155</v>
      </c>
      <c r="B36" s="167">
        <f>Pin/VIN_nom</f>
        <v>0.2105263157894737</v>
      </c>
      <c r="C36" s="61" t="s">
        <v>1</v>
      </c>
      <c r="D36" s="112" t="s">
        <v>160</v>
      </c>
      <c r="F36" s="7"/>
      <c r="G36" s="7"/>
      <c r="H36" s="7"/>
      <c r="I36" s="25">
        <v>1</v>
      </c>
      <c r="K36" s="77"/>
      <c r="R36" t="str">
        <f>"1 : 3"</f>
        <v>1 : 3</v>
      </c>
      <c r="S36">
        <v>9</v>
      </c>
      <c r="V36" t="str">
        <f>CHOOSE(MODE, "", "1 : 5")</f>
        <v/>
      </c>
      <c r="W36">
        <v>9</v>
      </c>
    </row>
    <row r="37" spans="1:23" x14ac:dyDescent="0.2">
      <c r="A37" s="111" t="s">
        <v>156</v>
      </c>
      <c r="B37" s="167">
        <f>Pin/VIN_max</f>
        <v>0.19138755980861247</v>
      </c>
      <c r="C37" s="61" t="s">
        <v>1</v>
      </c>
      <c r="D37" s="78"/>
      <c r="F37" s="7"/>
      <c r="G37" s="7"/>
      <c r="H37" s="7"/>
      <c r="I37" s="25"/>
      <c r="R37" t="str">
        <f>"1 : 4"</f>
        <v>1 : 4</v>
      </c>
      <c r="S37">
        <v>10</v>
      </c>
    </row>
    <row r="38" spans="1:23" x14ac:dyDescent="0.2">
      <c r="A38" s="111" t="s">
        <v>626</v>
      </c>
      <c r="B38" s="535">
        <f>CHOOSE(MODE, 'Calculations - Single'!N110, 'Calculations - Dual'!O110+'Calculations - Dual'!P110)</f>
        <v>7.9064316702819957</v>
      </c>
      <c r="C38" s="112" t="s">
        <v>45</v>
      </c>
      <c r="D38" s="78" t="b">
        <f>B38&lt;Pout_total</f>
        <v>0</v>
      </c>
      <c r="F38" s="7"/>
      <c r="G38" s="7"/>
      <c r="H38" s="7"/>
      <c r="I38" s="25"/>
      <c r="Q38" s="581" t="s">
        <v>399</v>
      </c>
      <c r="R38" s="469" t="str">
        <f>CHOOSE(Turns_Ratio, "5 : 1", "4 : 1", "3 : 1", "2 : 1", "1.5 : 1", "1 : 1", "1 : 1.5", "1 : 2", "1 : 3", "1 : 4")</f>
        <v>2 : 1</v>
      </c>
      <c r="S38" s="3">
        <v>4</v>
      </c>
      <c r="U38" s="581" t="s">
        <v>589</v>
      </c>
      <c r="V38" s="455" t="str">
        <f>CHOOSE(Turns_Ratio2, "5 : 1", "4 : 1", "3 : 1", "2 : 1", "1 : 1", "1 : 2", "1 : 3", "1 : 4", "1 : 5")</f>
        <v>1 : 5</v>
      </c>
      <c r="W38" s="3">
        <v>9</v>
      </c>
    </row>
    <row r="39" spans="1:23" x14ac:dyDescent="0.2">
      <c r="A39" s="111" t="s">
        <v>439</v>
      </c>
      <c r="B39" s="134">
        <v>350000</v>
      </c>
      <c r="C39" s="112" t="s">
        <v>8</v>
      </c>
      <c r="D39" s="78" t="s">
        <v>584</v>
      </c>
      <c r="F39" s="7"/>
      <c r="G39" s="7"/>
      <c r="H39" s="7"/>
      <c r="I39" s="25"/>
    </row>
    <row r="40" spans="1:23" x14ac:dyDescent="0.2">
      <c r="A40" s="26" t="s">
        <v>18</v>
      </c>
      <c r="B40" s="27">
        <v>1.21</v>
      </c>
      <c r="C40" s="7" t="s">
        <v>0</v>
      </c>
      <c r="D40" s="78" t="s">
        <v>585</v>
      </c>
      <c r="F40" s="7"/>
      <c r="G40" s="7"/>
      <c r="H40" s="7"/>
      <c r="I40" s="25"/>
      <c r="Q40" s="77" t="s">
        <v>458</v>
      </c>
      <c r="R40" s="469" t="str">
        <f>CHOOSE(Turns_Ratio, "5", "4 ", "3", "2", "1.5", "1", "0.66", "0.5", "0.33", "0.25")</f>
        <v>2</v>
      </c>
    </row>
    <row r="41" spans="1:23" x14ac:dyDescent="0.2">
      <c r="A41" s="111" t="s">
        <v>397</v>
      </c>
      <c r="B41" s="168">
        <f>'Design Converter'!E27*1000</f>
        <v>246000</v>
      </c>
      <c r="C41" s="114" t="s">
        <v>45</v>
      </c>
      <c r="D41" s="112" t="s">
        <v>586</v>
      </c>
      <c r="F41" s="7"/>
      <c r="G41" s="7"/>
      <c r="H41" s="7"/>
      <c r="I41" s="25"/>
      <c r="Q41" s="77" t="s">
        <v>507</v>
      </c>
      <c r="R41" s="469" t="str">
        <f>CHOOSE(Turns_Ratio, "5", "4 ", "3", "2", "1.5", "1", "0.66", "0.5", "0.33", "0.25")</f>
        <v>2</v>
      </c>
      <c r="V41" s="77" t="s">
        <v>593</v>
      </c>
      <c r="W41" s="162" t="str">
        <f>CHOOSE(Turns_Ratio, "1", "1", "1", "1", "1", "1", "1.5", "2", "3", "4")</f>
        <v>1</v>
      </c>
    </row>
    <row r="42" spans="1:23" x14ac:dyDescent="0.2">
      <c r="A42" s="111"/>
      <c r="B42" s="376"/>
      <c r="C42" s="114"/>
      <c r="D42" s="61"/>
      <c r="F42" s="7"/>
      <c r="G42" s="7"/>
      <c r="H42" s="7"/>
      <c r="I42" s="25"/>
      <c r="K42" s="77" t="s">
        <v>401</v>
      </c>
      <c r="Q42" s="77" t="s">
        <v>592</v>
      </c>
      <c r="R42" s="649">
        <f>ABS((Vout2+Vfwd1)/(Vout+Vfwd1))</f>
        <v>1</v>
      </c>
      <c r="V42" s="77" t="s">
        <v>592</v>
      </c>
      <c r="W42" s="634">
        <f>Nsec1sec2</f>
        <v>1</v>
      </c>
    </row>
    <row r="43" spans="1:23" ht="15.75" x14ac:dyDescent="0.3">
      <c r="A43" s="111" t="s">
        <v>398</v>
      </c>
      <c r="B43" s="535">
        <v>0.1</v>
      </c>
      <c r="C43" s="78" t="s">
        <v>45</v>
      </c>
      <c r="D43" s="112" t="s">
        <v>587</v>
      </c>
      <c r="F43" s="617" t="s">
        <v>588</v>
      </c>
      <c r="G43" s="7"/>
      <c r="H43" s="7"/>
      <c r="I43" s="25"/>
      <c r="Q43" s="485" t="s">
        <v>508</v>
      </c>
      <c r="R43" s="632">
        <f>Nps/Nsec1sec2</f>
        <v>2</v>
      </c>
      <c r="V43" s="3"/>
      <c r="W43" s="633">
        <f>W41*W42</f>
        <v>1</v>
      </c>
    </row>
    <row r="44" spans="1:23" ht="13.5" thickBot="1" x14ac:dyDescent="0.25">
      <c r="A44" s="28"/>
      <c r="B44" s="29"/>
      <c r="C44" s="81"/>
      <c r="D44" s="29"/>
      <c r="E44" s="29"/>
      <c r="F44" s="29"/>
      <c r="G44" s="29"/>
      <c r="H44" s="29"/>
      <c r="I44" s="30"/>
      <c r="K44" s="451" t="str">
        <f>"SCH_"&amp;B51&amp;"_"&amp;F56&amp;"_"&amp;I56&amp;"_"&amp;F50</f>
        <v>SCH_SINGLE_UVLOadj_SSint_TCno</v>
      </c>
      <c r="R44" s="373">
        <f>ROUND(Nsec1sec2,1)</f>
        <v>1</v>
      </c>
      <c r="V44" s="162" t="s">
        <v>594</v>
      </c>
      <c r="W44" s="623" t="str">
        <f>CHOOSE(MODE, R38, R38&amp;" : "&amp;ROUND(W43,2))</f>
        <v>2 : 1</v>
      </c>
    </row>
    <row r="45" spans="1:23" x14ac:dyDescent="0.2">
      <c r="A45" s="7"/>
      <c r="B45" s="7"/>
      <c r="C45" s="40"/>
      <c r="D45" s="7"/>
      <c r="E45" s="7"/>
      <c r="F45" s="7"/>
      <c r="G45" s="7"/>
      <c r="H45" s="7"/>
      <c r="I45" s="7"/>
    </row>
    <row r="46" spans="1:23" ht="16.5" thickBot="1" x14ac:dyDescent="0.3">
      <c r="A46" s="51" t="s">
        <v>575</v>
      </c>
      <c r="B46" s="7"/>
      <c r="C46" s="40"/>
      <c r="D46" s="7"/>
      <c r="E46" s="7"/>
      <c r="F46" s="7"/>
      <c r="G46" s="7"/>
      <c r="H46" s="7"/>
      <c r="I46" s="7"/>
    </row>
    <row r="47" spans="1:23" ht="15.75" x14ac:dyDescent="0.25">
      <c r="A47" s="386"/>
      <c r="B47" s="387"/>
      <c r="C47" s="388"/>
      <c r="D47" s="387"/>
      <c r="E47" s="387"/>
      <c r="F47" s="387"/>
      <c r="G47" s="387"/>
      <c r="H47" s="387"/>
      <c r="I47" s="443"/>
      <c r="J47" s="443"/>
      <c r="K47" s="443"/>
      <c r="L47" s="443"/>
      <c r="M47" s="443"/>
      <c r="N47" s="443"/>
      <c r="O47" s="24"/>
    </row>
    <row r="48" spans="1:23" x14ac:dyDescent="0.2">
      <c r="A48" s="383" t="s">
        <v>367</v>
      </c>
      <c r="B48" s="78" t="s">
        <v>368</v>
      </c>
      <c r="C48" s="444">
        <v>1</v>
      </c>
      <c r="D48" s="7"/>
      <c r="E48" s="383" t="s">
        <v>385</v>
      </c>
      <c r="F48" s="78" t="s">
        <v>370</v>
      </c>
      <c r="G48" s="165" t="b">
        <v>1</v>
      </c>
      <c r="I48" s="159" t="s">
        <v>303</v>
      </c>
      <c r="J48" s="165">
        <v>1</v>
      </c>
      <c r="K48" t="str">
        <f>B51&amp;", "&amp;F50&amp;", "&amp;I50&amp;", "&amp;F56&amp;", "&amp;I56</f>
        <v>SINGLE, TCno, IlimRes, UVLOadj, SSint</v>
      </c>
      <c r="O48" s="24"/>
      <c r="Q48" s="401" t="s">
        <v>337</v>
      </c>
      <c r="R48" s="3" t="s">
        <v>332</v>
      </c>
      <c r="S48" s="373">
        <v>1</v>
      </c>
    </row>
    <row r="49" spans="1:26" x14ac:dyDescent="0.2">
      <c r="A49" s="382"/>
      <c r="B49" s="78" t="s">
        <v>369</v>
      </c>
      <c r="C49" s="444">
        <v>2</v>
      </c>
      <c r="D49" s="7"/>
      <c r="E49" s="37"/>
      <c r="F49" s="78" t="s">
        <v>371</v>
      </c>
      <c r="G49" s="165" t="b">
        <v>0</v>
      </c>
      <c r="I49" s="159" t="s">
        <v>304</v>
      </c>
      <c r="J49" s="165">
        <v>2</v>
      </c>
      <c r="K49" t="str">
        <f>C51&amp;", "&amp;G50&amp;", "&amp;J50&amp;", "&amp;G56&amp;", "&amp;J56</f>
        <v>1, 2, 2, 1, 2</v>
      </c>
      <c r="O49" s="24"/>
      <c r="Q49" s="401" t="s">
        <v>339</v>
      </c>
      <c r="R49" s="3" t="s">
        <v>333</v>
      </c>
      <c r="S49" s="373">
        <v>2</v>
      </c>
    </row>
    <row r="50" spans="1:26" x14ac:dyDescent="0.2">
      <c r="B50" s="77" t="s">
        <v>521</v>
      </c>
      <c r="C50" s="596">
        <v>3</v>
      </c>
      <c r="D50" s="7"/>
      <c r="E50" s="450" t="s">
        <v>386</v>
      </c>
      <c r="F50" s="385" t="str">
        <f>CHOOSE(G50, "TCyes", "TCno")</f>
        <v>TCno</v>
      </c>
      <c r="G50" s="380">
        <v>2</v>
      </c>
      <c r="H50" s="450" t="s">
        <v>302</v>
      </c>
      <c r="I50" s="446" t="str">
        <f>CHOOSE(J50, "IlimGND", "IlimRes")</f>
        <v>IlimRes</v>
      </c>
      <c r="J50" s="380">
        <f>IF(C56=4, 1, 2)</f>
        <v>2</v>
      </c>
      <c r="K50" t="str">
        <f>C51&amp;G50&amp;J50&amp;G56&amp;J56</f>
        <v>12212</v>
      </c>
      <c r="O50" s="24"/>
      <c r="Q50" s="401" t="s">
        <v>340</v>
      </c>
      <c r="R50" s="3" t="s">
        <v>334</v>
      </c>
      <c r="S50" s="373">
        <v>3</v>
      </c>
    </row>
    <row r="51" spans="1:26" x14ac:dyDescent="0.2">
      <c r="A51" s="447" t="s">
        <v>287</v>
      </c>
      <c r="B51" s="445" t="str">
        <f>CHOOSE(C51,"SINGLE", IF(Vout2_actual&gt;0, "DUAL", "BIPOLAR"))</f>
        <v>SINGLE</v>
      </c>
      <c r="C51" s="384">
        <v>1</v>
      </c>
      <c r="D51" s="7"/>
      <c r="E51" s="7"/>
      <c r="G51" s="79">
        <f>TC</f>
        <v>2</v>
      </c>
      <c r="I51" s="380"/>
      <c r="J51" s="7"/>
      <c r="O51" s="24"/>
      <c r="Q51" s="401" t="s">
        <v>338</v>
      </c>
      <c r="R51" s="3" t="s">
        <v>335</v>
      </c>
      <c r="S51" s="373">
        <v>4</v>
      </c>
    </row>
    <row r="52" spans="1:26" x14ac:dyDescent="0.2">
      <c r="A52" s="382"/>
      <c r="B52" s="3" t="b">
        <f>CHOOSE(C51, TRUE, FALSE)</f>
        <v>1</v>
      </c>
      <c r="C52" s="79" t="str">
        <f>CHOOSE(C51,"1", IF(Vout2&gt;0, "2", "3"))</f>
        <v>1</v>
      </c>
      <c r="O52" s="24"/>
      <c r="Q52" s="401" t="s">
        <v>342</v>
      </c>
      <c r="R52" s="3" t="s">
        <v>341</v>
      </c>
      <c r="S52" s="373">
        <v>5</v>
      </c>
    </row>
    <row r="53" spans="1:26" x14ac:dyDescent="0.2">
      <c r="O53" s="24"/>
      <c r="Q53" s="449" t="s">
        <v>336</v>
      </c>
      <c r="R53" s="455" t="str">
        <f>CHOOSE(S53,"6.3V","10V","16V","25V","50V")</f>
        <v>16V</v>
      </c>
      <c r="S53" s="469">
        <f>IF(Vout&lt;=5, 1, IF(Vout&lt;=8, 2, IF(Vout&lt;=12, 3, IF(Vout&lt;=20, 4, 5))))</f>
        <v>3</v>
      </c>
    </row>
    <row r="54" spans="1:26" x14ac:dyDescent="0.2">
      <c r="A54" s="389" t="s">
        <v>189</v>
      </c>
      <c r="B54" s="112" t="s">
        <v>370</v>
      </c>
      <c r="C54" s="444">
        <v>1</v>
      </c>
      <c r="D54" s="7"/>
      <c r="E54" s="162" t="s">
        <v>322</v>
      </c>
      <c r="F54" s="485" t="s">
        <v>552</v>
      </c>
      <c r="G54" s="165">
        <v>1</v>
      </c>
      <c r="H54" s="383" t="s">
        <v>298</v>
      </c>
      <c r="I54" s="78" t="s">
        <v>552</v>
      </c>
      <c r="J54" s="165">
        <v>1</v>
      </c>
      <c r="L54" s="159" t="s">
        <v>320</v>
      </c>
      <c r="M54" s="165">
        <v>1</v>
      </c>
      <c r="O54" s="24"/>
    </row>
    <row r="55" spans="1:26" x14ac:dyDescent="0.2">
      <c r="A55" s="390"/>
      <c r="B55" s="112" t="s">
        <v>371</v>
      </c>
      <c r="C55" s="444">
        <v>2</v>
      </c>
      <c r="D55" s="7"/>
      <c r="F55" s="485" t="s">
        <v>553</v>
      </c>
      <c r="G55" s="165">
        <v>2</v>
      </c>
      <c r="H55" s="37"/>
      <c r="I55" s="78" t="s">
        <v>674</v>
      </c>
      <c r="J55" s="165">
        <v>2</v>
      </c>
      <c r="L55" s="159" t="s">
        <v>321</v>
      </c>
      <c r="M55" s="165">
        <v>2</v>
      </c>
      <c r="O55" s="24"/>
      <c r="R55" s="3" t="s">
        <v>654</v>
      </c>
      <c r="S55" s="3"/>
      <c r="T55" s="3" t="s">
        <v>116</v>
      </c>
      <c r="U55" s="3" t="s">
        <v>655</v>
      </c>
    </row>
    <row r="56" spans="1:26" x14ac:dyDescent="0.2">
      <c r="A56" s="448" t="s">
        <v>288</v>
      </c>
      <c r="B56" s="445" t="str">
        <f>CHOOSE(C56, "YES", "NO")</f>
        <v>YES</v>
      </c>
      <c r="C56" s="384">
        <v>1</v>
      </c>
      <c r="D56" s="7"/>
      <c r="E56" s="449" t="s">
        <v>308</v>
      </c>
      <c r="F56" s="446" t="str">
        <f>CHOOSE(G56, "UVLOadj", "UVLOint")</f>
        <v>UVLOadj</v>
      </c>
      <c r="G56" s="380">
        <v>1</v>
      </c>
      <c r="H56" s="450" t="s">
        <v>289</v>
      </c>
      <c r="I56" s="385" t="str">
        <f>CHOOSE(J56, "SSadj", "SSint")</f>
        <v>SSint</v>
      </c>
      <c r="J56" s="380">
        <v>2</v>
      </c>
      <c r="L56" s="381" t="s">
        <v>300</v>
      </c>
      <c r="M56" s="380">
        <v>1</v>
      </c>
      <c r="O56" s="24"/>
      <c r="R56" s="468" t="s">
        <v>345</v>
      </c>
      <c r="S56" s="373">
        <v>1</v>
      </c>
      <c r="T56" s="77" t="s">
        <v>351</v>
      </c>
      <c r="U56" s="471">
        <v>0.5</v>
      </c>
    </row>
    <row r="57" spans="1:26" ht="13.5" thickBot="1" x14ac:dyDescent="0.25">
      <c r="A57" s="28"/>
      <c r="B57" s="29"/>
      <c r="C57" s="164"/>
      <c r="D57" s="29"/>
      <c r="E57" s="29"/>
      <c r="F57" s="29"/>
      <c r="G57" s="29"/>
      <c r="H57" s="29"/>
      <c r="I57" s="29"/>
      <c r="J57" s="29"/>
      <c r="K57" s="29"/>
      <c r="L57" s="29"/>
      <c r="M57" s="29"/>
      <c r="N57" s="29"/>
      <c r="O57" s="24"/>
      <c r="R57" s="468" t="s">
        <v>119</v>
      </c>
      <c r="S57" s="373">
        <v>2</v>
      </c>
      <c r="T57" s="77" t="s">
        <v>355</v>
      </c>
      <c r="U57" s="471">
        <v>1.3</v>
      </c>
    </row>
    <row r="58" spans="1:26" x14ac:dyDescent="0.2">
      <c r="A58" s="7"/>
      <c r="B58" s="7" t="b">
        <f>(CONFIG="2")</f>
        <v>0</v>
      </c>
      <c r="C58" s="40" t="str">
        <f>CONFIG</f>
        <v>1</v>
      </c>
      <c r="D58" s="7"/>
      <c r="E58" s="7"/>
      <c r="F58" s="7"/>
      <c r="G58" s="7"/>
      <c r="H58" s="7"/>
      <c r="I58" s="7"/>
      <c r="R58" s="468" t="s">
        <v>346</v>
      </c>
      <c r="S58" s="373">
        <v>3</v>
      </c>
      <c r="T58" s="77" t="s">
        <v>356</v>
      </c>
      <c r="U58" s="471">
        <v>2.5</v>
      </c>
    </row>
    <row r="59" spans="1:26" ht="16.5" thickBot="1" x14ac:dyDescent="0.3">
      <c r="A59" s="51" t="s">
        <v>576</v>
      </c>
      <c r="B59" s="40"/>
      <c r="C59" s="40"/>
      <c r="E59" s="7"/>
      <c r="F59" s="7"/>
      <c r="G59" s="7"/>
      <c r="H59" s="7"/>
      <c r="I59" s="7"/>
      <c r="R59" s="468" t="s">
        <v>347</v>
      </c>
      <c r="S59" s="373">
        <v>4</v>
      </c>
      <c r="T59" s="77" t="s">
        <v>354</v>
      </c>
      <c r="U59" s="471">
        <v>5.0999999999999996</v>
      </c>
    </row>
    <row r="60" spans="1:26" x14ac:dyDescent="0.2">
      <c r="A60" s="110"/>
      <c r="B60" s="614"/>
      <c r="C60" s="615"/>
      <c r="D60" s="157"/>
      <c r="E60" s="80"/>
      <c r="F60" s="31"/>
      <c r="G60" s="31"/>
      <c r="H60" s="31"/>
      <c r="I60" s="32">
        <v>1</v>
      </c>
      <c r="R60" s="468" t="s">
        <v>348</v>
      </c>
      <c r="S60" s="373">
        <v>5</v>
      </c>
      <c r="T60" s="77" t="s">
        <v>357</v>
      </c>
      <c r="U60" s="471">
        <v>8</v>
      </c>
    </row>
    <row r="61" spans="1:26" x14ac:dyDescent="0.2">
      <c r="A61" s="111" t="s">
        <v>150</v>
      </c>
      <c r="B61" s="166">
        <f>Nps*(Vout+Vfwd2)/(VIN_min+Nps*(Vout+Vfwd2))</f>
        <v>0.53246753246753242</v>
      </c>
      <c r="C61" s="7"/>
      <c r="D61" t="b">
        <f>B61&gt;0.75</f>
        <v>0</v>
      </c>
      <c r="E61" s="78"/>
      <c r="F61" s="7"/>
      <c r="G61" s="7"/>
      <c r="H61" s="7"/>
      <c r="I61" s="25">
        <v>1</v>
      </c>
      <c r="Q61" s="449" t="s">
        <v>349</v>
      </c>
      <c r="R61" s="455" t="str">
        <f>CHOOSE(S61,"0402","0603","0805","1206","1210")</f>
        <v>1210</v>
      </c>
      <c r="S61" s="469">
        <v>5</v>
      </c>
      <c r="T61" s="455" t="str">
        <f>CHOOSE(S61,T56,T57, T58,T59,T60)</f>
        <v>3.2 x 2.5</v>
      </c>
    </row>
    <row r="62" spans="1:26" x14ac:dyDescent="0.2">
      <c r="A62" s="111" t="s">
        <v>158</v>
      </c>
      <c r="B62" s="166">
        <f>Nps*(Vout+Vfwd1)/(VIN_nom+Nps*(Vout+Vfwd1))</f>
        <v>0.50515463917525771</v>
      </c>
      <c r="C62" s="7"/>
      <c r="F62" s="7"/>
      <c r="G62" s="7"/>
      <c r="H62" s="7"/>
      <c r="I62" s="25"/>
    </row>
    <row r="63" spans="1:26" x14ac:dyDescent="0.2">
      <c r="A63" s="111" t="s">
        <v>151</v>
      </c>
      <c r="B63" s="166">
        <f>Nps*(Vout+Vfwd1)/(VIN_max+Nps*(Vout+Vfwd1))</f>
        <v>0.48133595284872299</v>
      </c>
      <c r="C63" s="7"/>
      <c r="E63" s="78"/>
      <c r="F63" s="7"/>
      <c r="G63" s="7"/>
      <c r="H63" s="7"/>
      <c r="I63" s="25"/>
    </row>
    <row r="64" spans="1:26" x14ac:dyDescent="0.2">
      <c r="A64" s="77"/>
      <c r="B64" s="7"/>
      <c r="C64" s="7"/>
      <c r="D64" s="7"/>
      <c r="E64" s="78"/>
      <c r="F64" s="7"/>
      <c r="G64" s="7"/>
      <c r="H64" s="7"/>
      <c r="I64" s="25"/>
      <c r="R64" s="3" t="s">
        <v>654</v>
      </c>
      <c r="S64" s="3"/>
      <c r="T64" s="3" t="s">
        <v>116</v>
      </c>
      <c r="U64" s="3" t="s">
        <v>655</v>
      </c>
      <c r="W64" s="3" t="s">
        <v>654</v>
      </c>
      <c r="X64" s="3"/>
      <c r="Y64" s="3" t="s">
        <v>116</v>
      </c>
      <c r="Z64" s="3" t="s">
        <v>655</v>
      </c>
    </row>
    <row r="65" spans="1:26" x14ac:dyDescent="0.2">
      <c r="A65" s="111"/>
      <c r="B65" s="660"/>
      <c r="C65" s="78"/>
      <c r="D65" s="78"/>
      <c r="F65" s="7"/>
      <c r="G65" s="7"/>
      <c r="H65" s="7"/>
      <c r="I65" s="25"/>
      <c r="R65" s="77" t="s">
        <v>352</v>
      </c>
      <c r="S65" s="373">
        <v>1</v>
      </c>
      <c r="T65" s="485" t="s">
        <v>640</v>
      </c>
      <c r="U65" s="471">
        <v>36</v>
      </c>
      <c r="W65" s="77" t="s">
        <v>661</v>
      </c>
      <c r="X65" s="373">
        <v>1</v>
      </c>
      <c r="Y65" s="77" t="s">
        <v>355</v>
      </c>
      <c r="Z65">
        <v>1.3</v>
      </c>
    </row>
    <row r="66" spans="1:26" x14ac:dyDescent="0.2">
      <c r="A66" s="111"/>
      <c r="B66" s="660"/>
      <c r="C66" s="7"/>
      <c r="D66" s="78"/>
      <c r="F66" s="7"/>
      <c r="G66" s="7"/>
      <c r="H66" s="7"/>
      <c r="I66" s="25"/>
      <c r="R66" s="77" t="s">
        <v>353</v>
      </c>
      <c r="S66" s="373">
        <v>2</v>
      </c>
      <c r="T66" s="485" t="s">
        <v>639</v>
      </c>
      <c r="U66" s="471">
        <v>49</v>
      </c>
      <c r="W66" s="77" t="s">
        <v>651</v>
      </c>
      <c r="X66" s="373">
        <v>2</v>
      </c>
      <c r="Y66" s="77" t="s">
        <v>660</v>
      </c>
      <c r="Z66">
        <v>3.2</v>
      </c>
    </row>
    <row r="67" spans="1:26" x14ac:dyDescent="0.2">
      <c r="A67" s="111"/>
      <c r="B67" s="660"/>
      <c r="C67" s="78"/>
      <c r="D67" s="78"/>
      <c r="F67" s="7"/>
      <c r="G67" s="7"/>
      <c r="H67" s="7"/>
      <c r="I67" s="25"/>
      <c r="R67" s="77" t="s">
        <v>630</v>
      </c>
      <c r="S67" s="373">
        <v>3</v>
      </c>
      <c r="T67" s="485" t="s">
        <v>638</v>
      </c>
      <c r="U67" s="471">
        <v>64</v>
      </c>
      <c r="W67" s="77" t="s">
        <v>652</v>
      </c>
      <c r="X67" s="373">
        <v>3</v>
      </c>
      <c r="Y67" s="77" t="s">
        <v>659</v>
      </c>
      <c r="Z67">
        <v>6.5</v>
      </c>
    </row>
    <row r="68" spans="1:26" x14ac:dyDescent="0.2">
      <c r="A68" s="77"/>
      <c r="B68" s="11"/>
      <c r="C68"/>
      <c r="I68" s="25">
        <v>1</v>
      </c>
      <c r="R68" s="77" t="s">
        <v>631</v>
      </c>
      <c r="S68" s="373">
        <v>4</v>
      </c>
      <c r="T68" s="485" t="s">
        <v>637</v>
      </c>
      <c r="U68" s="471">
        <v>81</v>
      </c>
      <c r="W68" s="77" t="s">
        <v>653</v>
      </c>
      <c r="X68" s="373">
        <v>4</v>
      </c>
      <c r="Y68" s="77" t="s">
        <v>658</v>
      </c>
      <c r="Z68">
        <v>12.5</v>
      </c>
    </row>
    <row r="69" spans="1:26" x14ac:dyDescent="0.2">
      <c r="A69" s="112"/>
      <c r="B69" s="661"/>
      <c r="C69" s="78"/>
      <c r="D69" s="78"/>
      <c r="E69" s="78"/>
      <c r="F69" s="7"/>
      <c r="G69" s="7"/>
      <c r="H69" s="7"/>
      <c r="I69" s="25"/>
      <c r="R69" s="77" t="s">
        <v>632</v>
      </c>
      <c r="S69" s="373">
        <v>5</v>
      </c>
      <c r="T69" s="485" t="s">
        <v>636</v>
      </c>
      <c r="U69" s="471">
        <v>100</v>
      </c>
      <c r="W69" s="449" t="s">
        <v>656</v>
      </c>
    </row>
    <row r="70" spans="1:26" x14ac:dyDescent="0.2">
      <c r="A70" s="112"/>
      <c r="B70" s="661"/>
      <c r="C70" s="7"/>
      <c r="D70" s="78"/>
      <c r="E70" s="78"/>
      <c r="F70" s="7"/>
      <c r="G70" s="7"/>
      <c r="H70" s="7"/>
      <c r="I70" s="25"/>
      <c r="R70" s="77" t="s">
        <v>633</v>
      </c>
      <c r="S70" s="373">
        <v>6</v>
      </c>
      <c r="T70" s="485" t="s">
        <v>635</v>
      </c>
      <c r="U70" s="471">
        <v>120</v>
      </c>
    </row>
    <row r="71" spans="1:26" x14ac:dyDescent="0.2">
      <c r="A71" s="112"/>
      <c r="B71" s="661"/>
      <c r="C71" s="78"/>
      <c r="D71" s="78"/>
      <c r="E71" s="78"/>
      <c r="F71" s="7"/>
      <c r="G71" s="7"/>
      <c r="H71" s="7"/>
      <c r="I71" s="25"/>
      <c r="R71" s="77" t="s">
        <v>634</v>
      </c>
      <c r="S71" s="373">
        <v>7</v>
      </c>
      <c r="T71" s="485" t="s">
        <v>641</v>
      </c>
      <c r="U71" s="471">
        <v>143</v>
      </c>
    </row>
    <row r="72" spans="1:26" ht="15.75" x14ac:dyDescent="0.3">
      <c r="A72" s="77"/>
      <c r="B72" s="7"/>
      <c r="C72" s="78"/>
      <c r="D72" s="7"/>
      <c r="E72" s="78"/>
      <c r="F72" s="7"/>
      <c r="G72" s="7"/>
      <c r="H72" s="7"/>
      <c r="I72" s="25"/>
      <c r="K72" s="77" t="s">
        <v>324</v>
      </c>
      <c r="Q72" s="449" t="s">
        <v>464</v>
      </c>
    </row>
    <row r="73" spans="1:26" x14ac:dyDescent="0.2">
      <c r="A73" s="111" t="s">
        <v>152</v>
      </c>
      <c r="B73" s="42">
        <f>'Design Converter'!L7/1000000</f>
        <v>8.3999999999999995E-5</v>
      </c>
      <c r="C73" s="7" t="s">
        <v>11</v>
      </c>
      <c r="D73" s="78" t="s">
        <v>463</v>
      </c>
      <c r="F73" s="7"/>
      <c r="G73" s="7"/>
      <c r="H73" s="7"/>
      <c r="I73" s="25"/>
    </row>
    <row r="74" spans="1:26" x14ac:dyDescent="0.2">
      <c r="A74" s="111" t="s">
        <v>687</v>
      </c>
      <c r="B74" s="134">
        <f>'Design Converter'!L11</f>
        <v>450</v>
      </c>
      <c r="C74" s="7" t="s">
        <v>688</v>
      </c>
      <c r="D74" s="78"/>
      <c r="F74" s="7"/>
      <c r="G74" s="7"/>
      <c r="H74" s="7"/>
      <c r="I74" s="25"/>
    </row>
    <row r="75" spans="1:26" x14ac:dyDescent="0.2">
      <c r="A75" s="111" t="s">
        <v>396</v>
      </c>
      <c r="B75" s="10">
        <f>'Design Converter'!L8/1000</f>
        <v>9.5000000000000001E-2</v>
      </c>
      <c r="C75" s="114" t="s">
        <v>45</v>
      </c>
      <c r="D75" s="78" t="s">
        <v>461</v>
      </c>
      <c r="F75" s="7"/>
      <c r="G75" s="7"/>
      <c r="H75" s="7"/>
      <c r="I75" s="25"/>
    </row>
    <row r="76" spans="1:26" x14ac:dyDescent="0.2">
      <c r="A76" s="111" t="s">
        <v>459</v>
      </c>
      <c r="B76" s="10">
        <f>'Design Converter'!L9/1000</f>
        <v>0.09</v>
      </c>
      <c r="C76" s="114" t="s">
        <v>45</v>
      </c>
      <c r="D76" s="78" t="s">
        <v>462</v>
      </c>
      <c r="F76" s="7"/>
      <c r="G76" s="7"/>
      <c r="H76" s="7"/>
      <c r="I76" s="25">
        <v>2</v>
      </c>
    </row>
    <row r="77" spans="1:26" x14ac:dyDescent="0.2">
      <c r="A77" s="111" t="s">
        <v>460</v>
      </c>
      <c r="B77" s="10">
        <f>'Design Converter'!L10/1000</f>
        <v>0.1</v>
      </c>
      <c r="C77" s="114" t="s">
        <v>45</v>
      </c>
      <c r="D77" s="78" t="s">
        <v>558</v>
      </c>
      <c r="E77" s="78"/>
      <c r="F77" s="7"/>
      <c r="G77" s="7"/>
      <c r="H77" s="7"/>
      <c r="I77" s="25">
        <v>1</v>
      </c>
    </row>
    <row r="78" spans="1:26" x14ac:dyDescent="0.2">
      <c r="A78" s="111"/>
      <c r="B78" s="7"/>
      <c r="C78" s="7"/>
      <c r="D78" s="7"/>
      <c r="E78" s="7"/>
      <c r="F78" s="7"/>
      <c r="G78" s="7"/>
      <c r="H78" s="7"/>
      <c r="I78" s="25"/>
    </row>
    <row r="79" spans="1:26" ht="15.75" customHeight="1" x14ac:dyDescent="0.2">
      <c r="A79" s="78" t="s">
        <v>557</v>
      </c>
      <c r="B79" s="196">
        <v>100</v>
      </c>
      <c r="C79" s="112" t="s">
        <v>102</v>
      </c>
      <c r="D79" s="78"/>
      <c r="E79" s="7"/>
      <c r="F79" s="7"/>
      <c r="H79" s="7"/>
      <c r="I79" s="25"/>
    </row>
    <row r="80" spans="1:26" x14ac:dyDescent="0.2">
      <c r="A80" s="111" t="s">
        <v>554</v>
      </c>
      <c r="B80" s="188">
        <f>Rdcr_pri*(1+0.0039*(B79-25))</f>
        <v>0.12278749999999999</v>
      </c>
      <c r="C80" s="114" t="s">
        <v>45</v>
      </c>
      <c r="D80" s="7"/>
      <c r="H80" s="7"/>
      <c r="I80" s="25"/>
    </row>
    <row r="81" spans="1:12" x14ac:dyDescent="0.2">
      <c r="A81" s="111" t="s">
        <v>555</v>
      </c>
      <c r="B81" s="188">
        <f>Rdcr_sec*(1+0.0039*(B79-25))</f>
        <v>0.116325</v>
      </c>
      <c r="C81" s="114" t="s">
        <v>45</v>
      </c>
      <c r="D81" s="7"/>
      <c r="H81" s="7"/>
      <c r="I81" s="25"/>
    </row>
    <row r="82" spans="1:12" x14ac:dyDescent="0.2">
      <c r="A82" s="111" t="s">
        <v>556</v>
      </c>
      <c r="B82" s="188">
        <f>Rdcr_sec2*(1+0.0039*(B79-25))</f>
        <v>0.12925</v>
      </c>
      <c r="C82" s="114" t="s">
        <v>45</v>
      </c>
      <c r="D82" s="7"/>
      <c r="H82" s="7"/>
      <c r="I82" s="25"/>
    </row>
    <row r="83" spans="1:12" x14ac:dyDescent="0.2">
      <c r="I83" s="25"/>
    </row>
    <row r="84" spans="1:12" x14ac:dyDescent="0.2">
      <c r="A84" t="s">
        <v>686</v>
      </c>
      <c r="B84" s="653">
        <f>(Vout+Vfwd1)*Nps*0.0000005/Isw_min*1000000</f>
        <v>42.241379310344833</v>
      </c>
      <c r="C84" s="3" t="s">
        <v>11</v>
      </c>
      <c r="I84" s="25"/>
    </row>
    <row r="85" spans="1:12" ht="13.5" thickBot="1" x14ac:dyDescent="0.25">
      <c r="A85" s="170"/>
      <c r="B85" s="171"/>
      <c r="C85" s="29"/>
      <c r="D85" s="29"/>
      <c r="E85" s="29"/>
      <c r="F85" s="29"/>
      <c r="G85" s="29"/>
      <c r="H85" s="29"/>
      <c r="I85" s="30"/>
    </row>
    <row r="86" spans="1:12" x14ac:dyDescent="0.2">
      <c r="A86" s="40"/>
      <c r="B86" s="39"/>
      <c r="C86" s="39"/>
      <c r="D86" s="7"/>
      <c r="E86" s="7"/>
      <c r="F86" s="7"/>
      <c r="G86" s="7"/>
      <c r="H86" s="7"/>
      <c r="I86" s="7"/>
    </row>
    <row r="88" spans="1:12" ht="16.5" thickBot="1" x14ac:dyDescent="0.3">
      <c r="A88" s="51" t="s">
        <v>577</v>
      </c>
      <c r="B88" s="7"/>
      <c r="D88" s="40"/>
      <c r="E88" s="7"/>
      <c r="F88" s="7"/>
      <c r="G88" s="7"/>
      <c r="H88" s="7"/>
      <c r="I88" s="7"/>
    </row>
    <row r="89" spans="1:12" x14ac:dyDescent="0.2">
      <c r="A89" s="110" t="s">
        <v>165</v>
      </c>
      <c r="B89" s="425"/>
      <c r="C89" s="169" t="s">
        <v>1</v>
      </c>
      <c r="D89" s="80" t="s">
        <v>164</v>
      </c>
      <c r="E89" s="31"/>
      <c r="F89" s="31"/>
      <c r="G89" s="31"/>
      <c r="H89" s="31"/>
      <c r="I89" s="32"/>
      <c r="L89" s="5"/>
    </row>
    <row r="90" spans="1:12" x14ac:dyDescent="0.2">
      <c r="A90" s="111" t="s">
        <v>166</v>
      </c>
      <c r="B90" s="426"/>
      <c r="C90" s="112" t="s">
        <v>1</v>
      </c>
      <c r="D90" s="7"/>
      <c r="E90" s="78"/>
      <c r="F90" s="7"/>
      <c r="G90" s="7"/>
      <c r="H90" s="7"/>
      <c r="I90" s="25"/>
      <c r="L90" s="5"/>
    </row>
    <row r="91" spans="1:12" x14ac:dyDescent="0.2">
      <c r="A91" s="111" t="s">
        <v>167</v>
      </c>
      <c r="B91" s="426"/>
      <c r="C91" s="112" t="s">
        <v>1</v>
      </c>
      <c r="D91" s="7"/>
      <c r="E91" s="78"/>
      <c r="F91" s="7"/>
      <c r="G91" s="7"/>
      <c r="H91" s="7"/>
      <c r="I91" s="25"/>
      <c r="L91" s="5"/>
    </row>
    <row r="92" spans="1:12" x14ac:dyDescent="0.2">
      <c r="A92" s="111"/>
      <c r="B92" s="172"/>
      <c r="C92" s="112"/>
      <c r="D92" s="7"/>
      <c r="E92" s="78"/>
      <c r="F92" s="7"/>
      <c r="G92" s="7"/>
      <c r="H92" s="7"/>
      <c r="I92" s="25"/>
      <c r="L92" s="5"/>
    </row>
    <row r="93" spans="1:12" x14ac:dyDescent="0.2">
      <c r="A93" s="111" t="s">
        <v>175</v>
      </c>
      <c r="B93" s="567">
        <f>Vout_ripple</f>
        <v>120</v>
      </c>
      <c r="C93" s="112" t="s">
        <v>149</v>
      </c>
      <c r="D93" s="78" t="s">
        <v>613</v>
      </c>
      <c r="F93" s="7"/>
      <c r="G93" s="7"/>
      <c r="H93" s="7"/>
      <c r="I93" s="25"/>
      <c r="L93" s="5"/>
    </row>
    <row r="94" spans="1:12" x14ac:dyDescent="0.2">
      <c r="A94" s="510" t="s">
        <v>12</v>
      </c>
      <c r="B94" s="197">
        <f>MAX(4.7, CHOOSE(MODE, 'Calculations - Single'!BA105, 'Calculations - Dual'!AW105))</f>
        <v>9.7243107769423585</v>
      </c>
      <c r="C94" s="206" t="s">
        <v>97</v>
      </c>
      <c r="D94" s="78" t="s">
        <v>612</v>
      </c>
      <c r="E94" s="78"/>
      <c r="F94" s="7"/>
      <c r="G94" s="7"/>
      <c r="H94" s="7"/>
      <c r="I94" s="25"/>
    </row>
    <row r="95" spans="1:12" x14ac:dyDescent="0.2">
      <c r="A95" s="111" t="s">
        <v>14</v>
      </c>
      <c r="B95" s="611">
        <f>'Design Converter'!E21</f>
        <v>100</v>
      </c>
      <c r="C95" s="206" t="s">
        <v>97</v>
      </c>
      <c r="D95" s="78" t="s">
        <v>168</v>
      </c>
      <c r="F95" s="7"/>
      <c r="G95" s="7"/>
      <c r="H95" s="7"/>
      <c r="I95" s="25"/>
    </row>
    <row r="96" spans="1:12" x14ac:dyDescent="0.2">
      <c r="A96" s="205" t="s">
        <v>182</v>
      </c>
      <c r="B96" s="568">
        <f>(Vripple1_spec-Iout*B98/Cout*1000)/Iout</f>
        <v>270.82706766917289</v>
      </c>
      <c r="C96" s="114" t="s">
        <v>259</v>
      </c>
      <c r="D96" s="78" t="s">
        <v>107</v>
      </c>
      <c r="F96" s="7"/>
      <c r="G96" s="7"/>
      <c r="H96" s="7"/>
      <c r="I96" s="25"/>
    </row>
    <row r="97" spans="1:9" x14ac:dyDescent="0.2">
      <c r="A97" s="111" t="s">
        <v>54</v>
      </c>
      <c r="B97" s="198">
        <f>'Design Converter'!E22</f>
        <v>3</v>
      </c>
      <c r="C97" s="114" t="s">
        <v>259</v>
      </c>
      <c r="D97" s="78" t="s">
        <v>108</v>
      </c>
      <c r="F97" s="7"/>
      <c r="G97" s="7"/>
      <c r="H97" s="7"/>
      <c r="I97" s="25"/>
    </row>
    <row r="98" spans="1:9" x14ac:dyDescent="0.2">
      <c r="A98" s="111" t="s">
        <v>449</v>
      </c>
      <c r="B98" s="197">
        <f>CHOOSE(MODE, 'Calculations - Single'!AT105, 'Calculations - Dual'!AR105)</f>
        <v>2.9172932330827077</v>
      </c>
      <c r="C98" s="206" t="s">
        <v>248</v>
      </c>
      <c r="D98" s="78"/>
      <c r="F98" s="7"/>
      <c r="G98" s="7"/>
      <c r="H98" s="7"/>
      <c r="I98" s="25"/>
    </row>
    <row r="99" spans="1:9" x14ac:dyDescent="0.2">
      <c r="A99" s="34" t="s">
        <v>448</v>
      </c>
      <c r="B99" s="608">
        <f>Iout*B98/Cout*1000+Iout*CoutEsr</f>
        <v>12.86917293233083</v>
      </c>
      <c r="C99" s="78" t="s">
        <v>454</v>
      </c>
      <c r="D99" s="78" t="s">
        <v>615</v>
      </c>
      <c r="F99" s="7"/>
      <c r="G99" s="7"/>
      <c r="H99" s="455" t="s">
        <v>580</v>
      </c>
      <c r="I99" s="25"/>
    </row>
    <row r="100" spans="1:9" x14ac:dyDescent="0.2">
      <c r="A100" s="34"/>
      <c r="B100" s="197"/>
      <c r="C100" s="78"/>
      <c r="D100" s="78"/>
      <c r="F100" s="7"/>
      <c r="G100" s="7"/>
      <c r="H100" s="7"/>
      <c r="I100" s="25"/>
    </row>
    <row r="101" spans="1:9" x14ac:dyDescent="0.2">
      <c r="A101" s="34"/>
      <c r="B101" s="197"/>
      <c r="C101" s="78"/>
      <c r="D101" s="78"/>
      <c r="F101" s="7"/>
      <c r="G101" s="7"/>
      <c r="H101" s="7"/>
      <c r="I101" s="25"/>
    </row>
    <row r="102" spans="1:9" x14ac:dyDescent="0.2">
      <c r="A102" s="616" t="s">
        <v>578</v>
      </c>
      <c r="B102" s="197"/>
      <c r="C102" s="206"/>
      <c r="D102" s="78"/>
      <c r="F102" s="7"/>
      <c r="G102" s="7"/>
      <c r="H102" s="7"/>
      <c r="I102" s="25"/>
    </row>
    <row r="103" spans="1:9" x14ac:dyDescent="0.2">
      <c r="A103" s="111" t="s">
        <v>559</v>
      </c>
      <c r="B103" s="567">
        <f>Vout_ripple2</f>
        <v>120</v>
      </c>
      <c r="C103" s="112" t="s">
        <v>149</v>
      </c>
      <c r="D103" s="78" t="s">
        <v>616</v>
      </c>
      <c r="F103" s="7"/>
      <c r="G103" s="7"/>
      <c r="H103" s="7"/>
      <c r="I103" s="25"/>
    </row>
    <row r="104" spans="1:9" x14ac:dyDescent="0.2">
      <c r="A104" s="510" t="s">
        <v>561</v>
      </c>
      <c r="B104" s="197">
        <f>MAX(4.7, 'Calculations - Dual'!AX105)</f>
        <v>7.2932330827067702</v>
      </c>
      <c r="C104" s="206" t="s">
        <v>97</v>
      </c>
      <c r="D104" s="78" t="s">
        <v>612</v>
      </c>
      <c r="F104" s="7"/>
      <c r="G104" s="7"/>
      <c r="H104" s="7"/>
      <c r="I104" s="25"/>
    </row>
    <row r="105" spans="1:9" x14ac:dyDescent="0.2">
      <c r="A105" s="111" t="s">
        <v>560</v>
      </c>
      <c r="B105" s="611">
        <f>'Design Converter'!L21</f>
        <v>47</v>
      </c>
      <c r="C105" s="206" t="s">
        <v>97</v>
      </c>
      <c r="D105" s="78" t="s">
        <v>168</v>
      </c>
      <c r="F105" s="7"/>
      <c r="G105" s="7"/>
      <c r="H105" s="7"/>
      <c r="I105" s="25"/>
    </row>
    <row r="106" spans="1:9" x14ac:dyDescent="0.2">
      <c r="A106" s="205" t="s">
        <v>562</v>
      </c>
      <c r="B106" s="568">
        <f>(Vout_ripple2-Iout2*B108/Cout2*1000)/Iout2</f>
        <v>415.68989777962042</v>
      </c>
      <c r="C106" s="114" t="s">
        <v>259</v>
      </c>
      <c r="D106" s="78" t="s">
        <v>107</v>
      </c>
      <c r="F106" s="7"/>
      <c r="G106" s="7"/>
      <c r="H106" s="455" t="s">
        <v>579</v>
      </c>
      <c r="I106" s="25"/>
    </row>
    <row r="107" spans="1:9" x14ac:dyDescent="0.2">
      <c r="A107" s="111" t="s">
        <v>563</v>
      </c>
      <c r="B107" s="198">
        <f>'Design Converter'!L22</f>
        <v>3</v>
      </c>
      <c r="C107" s="114" t="s">
        <v>259</v>
      </c>
      <c r="D107" s="78" t="s">
        <v>108</v>
      </c>
      <c r="F107" s="7"/>
      <c r="G107" s="7"/>
      <c r="I107" s="25"/>
    </row>
    <row r="108" spans="1:9" x14ac:dyDescent="0.2">
      <c r="A108" s="111" t="s">
        <v>449</v>
      </c>
      <c r="B108" s="197">
        <f>'Calculations - Dual'!AR105</f>
        <v>8.6625748043578366</v>
      </c>
      <c r="C108" s="206" t="s">
        <v>248</v>
      </c>
      <c r="D108" s="78"/>
      <c r="F108" s="7"/>
      <c r="G108" s="7"/>
      <c r="H108" s="455" t="s">
        <v>579</v>
      </c>
      <c r="I108" s="25"/>
    </row>
    <row r="109" spans="1:9" x14ac:dyDescent="0.2">
      <c r="A109" s="34" t="s">
        <v>448</v>
      </c>
      <c r="B109" s="608">
        <f>Iout2*B108/Cout2*1000+Iout2*CoutEsr2</f>
        <v>37.462020444075904</v>
      </c>
      <c r="C109" s="78" t="s">
        <v>454</v>
      </c>
      <c r="D109" s="78" t="s">
        <v>614</v>
      </c>
      <c r="F109" s="7"/>
      <c r="G109" s="7"/>
      <c r="H109" s="7"/>
      <c r="I109" s="25"/>
    </row>
    <row r="110" spans="1:9" x14ac:dyDescent="0.2">
      <c r="A110" s="40"/>
      <c r="B110" s="197"/>
      <c r="C110" s="78"/>
      <c r="D110" s="78"/>
      <c r="F110" s="7"/>
      <c r="G110" s="7"/>
      <c r="H110" s="7"/>
      <c r="I110" s="25"/>
    </row>
    <row r="111" spans="1:9" ht="13.5" thickBot="1" x14ac:dyDescent="0.25">
      <c r="A111" s="29"/>
      <c r="B111" s="29"/>
      <c r="C111" s="29"/>
      <c r="D111" s="29"/>
      <c r="E111" s="29"/>
      <c r="F111" s="29"/>
      <c r="G111" s="29"/>
      <c r="H111" s="29"/>
      <c r="I111" s="30"/>
    </row>
    <row r="113" spans="1:9" ht="13.5" thickBot="1" x14ac:dyDescent="0.25">
      <c r="A113" s="7"/>
      <c r="B113" s="7"/>
      <c r="C113" s="40"/>
      <c r="D113" s="7"/>
      <c r="E113" s="7"/>
      <c r="F113" s="7"/>
      <c r="G113" s="7"/>
      <c r="H113" s="7"/>
      <c r="I113" s="7"/>
    </row>
    <row r="114" spans="1:9" ht="15.75" x14ac:dyDescent="0.25">
      <c r="A114" s="62" t="s">
        <v>55</v>
      </c>
      <c r="B114" s="63"/>
      <c r="C114" s="173"/>
      <c r="D114" s="63"/>
      <c r="E114" s="63"/>
      <c r="F114" s="63"/>
      <c r="G114" s="63"/>
      <c r="H114" s="63"/>
      <c r="I114" s="64"/>
    </row>
    <row r="115" spans="1:9" x14ac:dyDescent="0.2">
      <c r="A115" s="570" t="s">
        <v>522</v>
      </c>
      <c r="B115" s="573">
        <f>0.05*VIN_nom</f>
        <v>1.2000000000000002</v>
      </c>
      <c r="C115" s="112" t="s">
        <v>455</v>
      </c>
      <c r="D115" s="77" t="s">
        <v>450</v>
      </c>
      <c r="E115" s="7"/>
      <c r="F115" s="7"/>
      <c r="G115" s="7"/>
      <c r="H115" s="7"/>
      <c r="I115" s="66"/>
    </row>
    <row r="116" spans="1:9" x14ac:dyDescent="0.2">
      <c r="A116" s="65"/>
      <c r="B116" s="12"/>
      <c r="C116" s="61"/>
      <c r="E116" s="7"/>
      <c r="F116" s="7"/>
      <c r="G116" s="7"/>
      <c r="H116" s="7"/>
      <c r="I116" s="66"/>
    </row>
    <row r="117" spans="1:9" x14ac:dyDescent="0.2">
      <c r="A117" s="67" t="s">
        <v>58</v>
      </c>
      <c r="B117" s="427"/>
      <c r="C117" s="206" t="s">
        <v>30</v>
      </c>
      <c r="E117" s="7"/>
      <c r="F117" s="7"/>
      <c r="G117" s="7"/>
      <c r="H117" s="7"/>
      <c r="I117" s="66"/>
    </row>
    <row r="118" spans="1:9" x14ac:dyDescent="0.2">
      <c r="A118" s="67" t="s">
        <v>98</v>
      </c>
      <c r="B118" s="190">
        <f>'Calculations - Single'!BB105</f>
        <v>0.50136081341915495</v>
      </c>
      <c r="C118" s="206" t="s">
        <v>97</v>
      </c>
      <c r="E118" s="7"/>
      <c r="F118" s="7"/>
      <c r="G118" s="7"/>
      <c r="H118" s="7"/>
      <c r="I118" s="66"/>
    </row>
    <row r="119" spans="1:9" x14ac:dyDescent="0.2">
      <c r="A119" s="205" t="s">
        <v>181</v>
      </c>
      <c r="B119" s="618">
        <f>MAX(2.2,Cinmin)</f>
        <v>2.2000000000000002</v>
      </c>
      <c r="C119" s="206" t="s">
        <v>97</v>
      </c>
      <c r="E119" s="7"/>
      <c r="F119" s="7"/>
      <c r="G119" s="7"/>
      <c r="H119" s="7"/>
      <c r="I119" s="66"/>
    </row>
    <row r="120" spans="1:9" x14ac:dyDescent="0.2">
      <c r="A120" s="67" t="s">
        <v>28</v>
      </c>
      <c r="B120" s="571">
        <f>'Design Converter'!E17</f>
        <v>22</v>
      </c>
      <c r="C120" s="206" t="s">
        <v>97</v>
      </c>
      <c r="D120" s="7" t="s">
        <v>60</v>
      </c>
      <c r="F120" s="7"/>
      <c r="G120" s="7"/>
      <c r="H120" s="7"/>
      <c r="I120" s="66"/>
    </row>
    <row r="121" spans="1:9" x14ac:dyDescent="0.2">
      <c r="A121" s="67"/>
      <c r="B121" s="569"/>
      <c r="C121" s="59"/>
      <c r="D121" s="7"/>
      <c r="F121" s="7"/>
      <c r="G121" s="7"/>
      <c r="H121" s="7"/>
      <c r="I121" s="66"/>
    </row>
    <row r="122" spans="1:9" x14ac:dyDescent="0.2">
      <c r="A122" s="68" t="s">
        <v>99</v>
      </c>
      <c r="B122" s="426">
        <f>(Vinripple1-B125*B127/Cin)/B126</f>
        <v>1.4068814256822937</v>
      </c>
      <c r="C122" s="114" t="s">
        <v>45</v>
      </c>
      <c r="D122" s="7"/>
      <c r="F122" s="7"/>
      <c r="G122" s="7"/>
      <c r="H122" s="7"/>
      <c r="I122" s="66"/>
    </row>
    <row r="123" spans="1:9" x14ac:dyDescent="0.2">
      <c r="A123" s="67" t="s">
        <v>37</v>
      </c>
      <c r="B123" s="60">
        <f>'Design Converter'!E18/1000</f>
        <v>5.0000000000000001E-3</v>
      </c>
      <c r="C123" s="114" t="s">
        <v>45</v>
      </c>
      <c r="D123" s="78" t="s">
        <v>109</v>
      </c>
      <c r="F123" s="7"/>
      <c r="G123" s="7"/>
      <c r="H123" s="7"/>
      <c r="I123" s="66"/>
    </row>
    <row r="124" spans="1:9" x14ac:dyDescent="0.2">
      <c r="A124" s="205" t="s">
        <v>183</v>
      </c>
      <c r="B124" s="374">
        <f>'Design Converter'!E18</f>
        <v>5</v>
      </c>
      <c r="C124" s="17" t="s">
        <v>162</v>
      </c>
      <c r="D124" s="78"/>
      <c r="F124" s="7"/>
      <c r="G124" s="7"/>
      <c r="H124" s="7"/>
      <c r="I124" s="66"/>
    </row>
    <row r="125" spans="1:9" x14ac:dyDescent="0.2">
      <c r="A125" s="205" t="s">
        <v>452</v>
      </c>
      <c r="B125" s="432">
        <f>Vout*Iout/VIN_nom/Efficiency</f>
        <v>0.21052631578947373</v>
      </c>
      <c r="C125" s="78" t="s">
        <v>1</v>
      </c>
      <c r="D125" s="78"/>
      <c r="F125" s="7"/>
      <c r="G125" s="7"/>
      <c r="H125" s="7"/>
      <c r="I125" s="66"/>
    </row>
    <row r="126" spans="1:9" x14ac:dyDescent="0.2">
      <c r="A126" s="205" t="s">
        <v>456</v>
      </c>
      <c r="B126" s="432">
        <f>CHOOSE(MODE, 'Calculations - Single'!AJ105, 'Calculations - Dual'!$AI$105)</f>
        <v>0.83351235230934506</v>
      </c>
      <c r="C126" s="78" t="s">
        <v>1</v>
      </c>
      <c r="D126" s="78"/>
      <c r="F126" s="7"/>
      <c r="G126" s="7"/>
      <c r="H126" s="7"/>
      <c r="I126" s="66"/>
    </row>
    <row r="127" spans="1:9" x14ac:dyDescent="0.2">
      <c r="A127" s="205" t="s">
        <v>453</v>
      </c>
      <c r="B127" s="432">
        <f>CHOOSE(MODE, 'Calculations - Single'!AU105, 'Calculations - Dual'!$AT$105)</f>
        <v>2.8577566364891833</v>
      </c>
      <c r="C127" s="206" t="s">
        <v>248</v>
      </c>
      <c r="D127" s="78"/>
      <c r="F127" s="7"/>
      <c r="G127" s="7"/>
      <c r="H127" s="7"/>
      <c r="I127" s="66"/>
    </row>
    <row r="128" spans="1:9" x14ac:dyDescent="0.2">
      <c r="A128" s="205" t="s">
        <v>451</v>
      </c>
      <c r="B128" s="190">
        <f>B125*B127/Cin+B126*RCinEsr</f>
        <v>3.1514515220773365E-2</v>
      </c>
      <c r="C128" s="206" t="s">
        <v>455</v>
      </c>
      <c r="D128" s="77" t="s">
        <v>457</v>
      </c>
      <c r="E128" s="572"/>
      <c r="F128" s="206"/>
      <c r="G128" s="7"/>
      <c r="H128" s="7"/>
      <c r="I128" s="66"/>
    </row>
    <row r="129" spans="1:9" ht="13.5" thickBot="1" x14ac:dyDescent="0.25">
      <c r="A129" s="69"/>
      <c r="B129" s="70"/>
      <c r="C129" s="70"/>
      <c r="D129" s="70"/>
      <c r="E129" s="71"/>
      <c r="F129" s="71"/>
      <c r="G129" s="71"/>
      <c r="H129" s="71"/>
      <c r="I129" s="72"/>
    </row>
    <row r="130" spans="1:9" x14ac:dyDescent="0.2">
      <c r="A130" s="7"/>
      <c r="B130" s="7"/>
      <c r="C130" s="40"/>
      <c r="D130" s="7"/>
      <c r="E130" s="7"/>
      <c r="F130" s="7"/>
      <c r="G130" s="7"/>
      <c r="H130" s="7"/>
      <c r="I130" s="7"/>
    </row>
    <row r="131" spans="1:9" ht="16.5" thickBot="1" x14ac:dyDescent="0.3">
      <c r="A131" s="51" t="s">
        <v>62</v>
      </c>
      <c r="B131" s="7"/>
      <c r="C131" s="40"/>
      <c r="D131" s="7"/>
      <c r="E131" s="7"/>
      <c r="F131" s="7"/>
      <c r="G131" s="7"/>
      <c r="H131" s="7"/>
      <c r="I131" s="7"/>
    </row>
    <row r="132" spans="1:9" x14ac:dyDescent="0.2">
      <c r="A132" s="53" t="s">
        <v>64</v>
      </c>
      <c r="B132" s="9">
        <f>'Design Converter'!E29/1000</f>
        <v>8.0000000000000002E-3</v>
      </c>
      <c r="C132" s="31" t="s">
        <v>51</v>
      </c>
      <c r="D132" s="80" t="s">
        <v>177</v>
      </c>
      <c r="E132" s="31"/>
      <c r="F132" s="31"/>
      <c r="G132" s="31"/>
      <c r="H132" s="31"/>
      <c r="I132" s="32"/>
    </row>
    <row r="133" spans="1:9" x14ac:dyDescent="0.2">
      <c r="A133" s="24" t="s">
        <v>65</v>
      </c>
      <c r="B133" s="200">
        <v>5.0000000000000004E-6</v>
      </c>
      <c r="C133" s="7" t="s">
        <v>1</v>
      </c>
      <c r="D133" s="78" t="s">
        <v>310</v>
      </c>
      <c r="E133" s="7"/>
      <c r="F133" s="7"/>
      <c r="G133" s="7"/>
      <c r="H133" s="7"/>
      <c r="I133" s="25"/>
    </row>
    <row r="134" spans="1:9" x14ac:dyDescent="0.2">
      <c r="A134" s="24" t="s">
        <v>66</v>
      </c>
      <c r="B134" s="200">
        <f>0.000005*Tss/1</f>
        <v>4.0000000000000001E-8</v>
      </c>
      <c r="C134" s="7" t="s">
        <v>13</v>
      </c>
      <c r="D134" s="78" t="s">
        <v>312</v>
      </c>
      <c r="E134" s="7"/>
      <c r="F134" s="7"/>
      <c r="G134" s="7"/>
      <c r="H134" s="7"/>
      <c r="I134" s="25"/>
    </row>
    <row r="135" spans="1:9" ht="13.5" thickBot="1" x14ac:dyDescent="0.25">
      <c r="A135" s="28" t="s">
        <v>72</v>
      </c>
      <c r="B135" s="201">
        <f>'Standard Value Calculator'!B4</f>
        <v>3.8999999999999998E-8</v>
      </c>
      <c r="C135" s="29" t="s">
        <v>13</v>
      </c>
      <c r="D135" s="81" t="s">
        <v>313</v>
      </c>
      <c r="E135" s="29"/>
      <c r="F135" s="29"/>
      <c r="G135" s="29"/>
      <c r="H135" s="29"/>
      <c r="I135" s="30"/>
    </row>
    <row r="137" spans="1:9" ht="16.5" thickBot="1" x14ac:dyDescent="0.3">
      <c r="A137" s="51" t="s">
        <v>574</v>
      </c>
      <c r="B137" s="7"/>
      <c r="C137" s="40"/>
      <c r="D137" s="7"/>
      <c r="E137" s="7"/>
      <c r="F137" s="7"/>
      <c r="G137" s="7"/>
      <c r="H137" s="7"/>
      <c r="I137" s="7"/>
    </row>
    <row r="138" spans="1:9" ht="12.75" customHeight="1" x14ac:dyDescent="0.2">
      <c r="A138" s="110"/>
      <c r="B138" s="54"/>
      <c r="C138" s="160"/>
      <c r="D138" s="80"/>
      <c r="E138" s="31"/>
      <c r="F138" s="31"/>
      <c r="G138" s="31"/>
      <c r="H138" s="31"/>
      <c r="I138" s="32"/>
    </row>
    <row r="139" spans="1:9" ht="12.75" customHeight="1" x14ac:dyDescent="0.2">
      <c r="A139" s="111" t="s">
        <v>111</v>
      </c>
      <c r="B139" s="191">
        <v>1.5</v>
      </c>
      <c r="C139" s="78" t="s">
        <v>0</v>
      </c>
      <c r="D139" s="78"/>
      <c r="E139" s="7"/>
      <c r="F139" s="7"/>
      <c r="G139" s="7"/>
      <c r="H139" s="7"/>
      <c r="I139" s="25"/>
    </row>
    <row r="140" spans="1:9" ht="12.75" customHeight="1" x14ac:dyDescent="0.2">
      <c r="A140" s="111" t="s">
        <v>112</v>
      </c>
      <c r="B140" s="191">
        <v>1.45</v>
      </c>
      <c r="C140" s="78" t="s">
        <v>0</v>
      </c>
      <c r="D140" s="78"/>
      <c r="E140" s="7"/>
      <c r="F140" s="7"/>
      <c r="G140" s="7"/>
      <c r="H140" s="7"/>
      <c r="I140" s="25"/>
    </row>
    <row r="141" spans="1:9" ht="12.75" customHeight="1" x14ac:dyDescent="0.2">
      <c r="A141" s="111" t="s">
        <v>148</v>
      </c>
      <c r="B141" s="37">
        <f>B139-B140</f>
        <v>5.0000000000000044E-2</v>
      </c>
      <c r="C141" s="78" t="s">
        <v>0</v>
      </c>
      <c r="D141" s="78"/>
      <c r="E141" s="7"/>
      <c r="F141" s="7"/>
      <c r="G141" s="7"/>
      <c r="H141" s="7"/>
      <c r="I141" s="25"/>
    </row>
    <row r="142" spans="1:9" ht="12.75" customHeight="1" x14ac:dyDescent="0.2">
      <c r="A142" s="111" t="s">
        <v>381</v>
      </c>
      <c r="B142" s="7">
        <v>0</v>
      </c>
      <c r="C142" s="112" t="s">
        <v>1</v>
      </c>
      <c r="D142" s="78"/>
      <c r="E142" s="7"/>
      <c r="F142" s="7"/>
      <c r="G142" s="7"/>
      <c r="H142" s="7"/>
      <c r="I142" s="25"/>
    </row>
    <row r="143" spans="1:9" ht="12.75" customHeight="1" x14ac:dyDescent="0.2">
      <c r="A143" s="111" t="s">
        <v>380</v>
      </c>
      <c r="B143" s="536">
        <v>5.0000000000000001E-3</v>
      </c>
      <c r="C143" s="112" t="s">
        <v>30</v>
      </c>
      <c r="D143" s="78"/>
      <c r="E143" s="7"/>
      <c r="F143" s="7"/>
      <c r="G143" s="7"/>
      <c r="H143" s="7"/>
      <c r="I143" s="25"/>
    </row>
    <row r="144" spans="1:9" ht="12.75" customHeight="1" x14ac:dyDescent="0.2">
      <c r="A144" s="111" t="s">
        <v>379</v>
      </c>
      <c r="B144" s="537">
        <f>Iuvlo2-Iuvlo1</f>
        <v>5.0000000000000001E-3</v>
      </c>
      <c r="C144" s="112" t="s">
        <v>30</v>
      </c>
      <c r="D144" s="78"/>
      <c r="F144" s="7"/>
      <c r="G144" s="7"/>
      <c r="H144" s="7"/>
      <c r="I144" s="25"/>
    </row>
    <row r="145" spans="1:9" ht="12.75" customHeight="1" x14ac:dyDescent="0.2">
      <c r="A145" s="111"/>
      <c r="B145" s="37"/>
      <c r="C145" s="383"/>
      <c r="D145" s="78"/>
      <c r="E145" s="7"/>
      <c r="F145" s="7"/>
      <c r="G145" s="7"/>
      <c r="H145" s="7"/>
      <c r="I145" s="25"/>
    </row>
    <row r="146" spans="1:9" ht="12.75" customHeight="1" x14ac:dyDescent="0.3">
      <c r="A146" s="111" t="s">
        <v>110</v>
      </c>
      <c r="B146" s="189">
        <f>'Design Converter'!E35</f>
        <v>4.5</v>
      </c>
      <c r="C146" s="112" t="s">
        <v>0</v>
      </c>
      <c r="E146" s="7"/>
      <c r="F146" s="7"/>
      <c r="G146" s="7"/>
      <c r="H146" s="7"/>
      <c r="I146" s="25"/>
    </row>
    <row r="147" spans="1:9" ht="12.75" customHeight="1" x14ac:dyDescent="0.3">
      <c r="A147" s="111" t="s">
        <v>296</v>
      </c>
      <c r="B147" s="189">
        <f>'Design Converter'!E36</f>
        <v>3.5</v>
      </c>
      <c r="C147" s="112" t="s">
        <v>0</v>
      </c>
      <c r="E147" s="7"/>
      <c r="F147" s="7"/>
      <c r="G147" s="7"/>
      <c r="H147" s="7"/>
      <c r="I147" s="25"/>
    </row>
    <row r="148" spans="1:9" ht="12.75" customHeight="1" x14ac:dyDescent="0.2">
      <c r="A148" s="111"/>
      <c r="B148" s="37"/>
      <c r="C148" s="112"/>
      <c r="E148" s="7"/>
      <c r="F148" s="7"/>
      <c r="G148" s="7"/>
      <c r="H148" s="7"/>
      <c r="I148" s="25"/>
    </row>
    <row r="149" spans="1:9" ht="12.75" customHeight="1" x14ac:dyDescent="0.3">
      <c r="A149" s="111" t="s">
        <v>126</v>
      </c>
      <c r="B149" s="609">
        <f>(VINuvlo_off-VINuvlo_on*Vuvlo_off/Vuvlo_on)/(Iuvlo1*Vuvlo_off/Vuvlo_on-Iuvlo2)</f>
        <v>169.99999999999991</v>
      </c>
      <c r="C149" s="17" t="s">
        <v>113</v>
      </c>
      <c r="D149" s="7">
        <f>'Standard Value Calculator'!J16</f>
        <v>169</v>
      </c>
      <c r="E149" s="17" t="s">
        <v>113</v>
      </c>
      <c r="F149" s="37">
        <f>IF(Ruvlo1&lt;0,"N/A",D149)</f>
        <v>169</v>
      </c>
      <c r="G149" s="37" t="str">
        <f>IF(Ruvlo1&lt;0,"N/A",D149&amp;"kΩ")</f>
        <v>169kΩ</v>
      </c>
      <c r="I149" s="25"/>
    </row>
    <row r="150" spans="1:9" ht="12.75" customHeight="1" x14ac:dyDescent="0.3">
      <c r="A150" s="111" t="s">
        <v>127</v>
      </c>
      <c r="B150" s="192">
        <f>D149*Vuvlo_on/(VINuvlo_on-Vuvlo_on+Ruvlo1*Iuvlo1)</f>
        <v>84.5</v>
      </c>
      <c r="C150" s="17" t="s">
        <v>113</v>
      </c>
      <c r="D150" s="7">
        <f>'Standard Value Calculator'!J17</f>
        <v>84.5</v>
      </c>
      <c r="E150" s="17" t="s">
        <v>113</v>
      </c>
      <c r="F150" s="37">
        <f>IF(F149="N/A","N/A",D150)</f>
        <v>84.5</v>
      </c>
      <c r="G150" s="37" t="str">
        <f>IF(G149="N/A","N/A",D150&amp;"kΩ")</f>
        <v>84.5kΩ</v>
      </c>
      <c r="I150" s="25"/>
    </row>
    <row r="151" spans="1:9" ht="12.75" customHeight="1" x14ac:dyDescent="0.2">
      <c r="A151" s="111"/>
      <c r="B151" s="113"/>
      <c r="C151" s="17"/>
      <c r="D151" s="37"/>
      <c r="E151" s="17"/>
      <c r="F151" s="37"/>
      <c r="G151" s="37"/>
      <c r="I151" s="25"/>
    </row>
    <row r="152" spans="1:9" ht="12.75" customHeight="1" x14ac:dyDescent="0.3">
      <c r="A152" s="111" t="s">
        <v>114</v>
      </c>
      <c r="B152" s="610">
        <f>(D149+D150)/D150*Vuvlo_on</f>
        <v>4.5</v>
      </c>
      <c r="C152" s="3" t="s">
        <v>0</v>
      </c>
      <c r="E152" s="7"/>
      <c r="F152" s="17"/>
      <c r="G152" s="7"/>
      <c r="H152" s="7"/>
      <c r="I152" s="25"/>
    </row>
    <row r="153" spans="1:9" ht="12.75" customHeight="1" x14ac:dyDescent="0.3">
      <c r="A153" s="111" t="s">
        <v>115</v>
      </c>
      <c r="B153" s="610">
        <f>(D149+D150)/D150*Vuvlo_off-Iuvlo2*D149</f>
        <v>3.5049999999999999</v>
      </c>
      <c r="C153" s="3" t="s">
        <v>0</v>
      </c>
      <c r="E153" s="7"/>
      <c r="F153" s="17"/>
      <c r="G153" s="7"/>
      <c r="H153" s="7"/>
      <c r="I153" s="25"/>
    </row>
    <row r="154" spans="1:9" ht="12.75" customHeight="1" thickBot="1" x14ac:dyDescent="0.25">
      <c r="A154" s="28"/>
      <c r="B154" s="38"/>
      <c r="C154" s="161"/>
      <c r="D154" s="29"/>
      <c r="E154" s="29"/>
      <c r="F154" s="29"/>
      <c r="G154" s="29"/>
      <c r="H154" s="29"/>
      <c r="I154" s="30"/>
    </row>
    <row r="155" spans="1:9" x14ac:dyDescent="0.2">
      <c r="B155" s="16"/>
      <c r="C155" s="162"/>
    </row>
    <row r="156" spans="1:9" ht="16.5" thickBot="1" x14ac:dyDescent="0.3">
      <c r="A156" s="51" t="s">
        <v>533</v>
      </c>
      <c r="B156" s="7"/>
      <c r="C156" s="40"/>
      <c r="D156" s="7"/>
      <c r="E156" s="7"/>
      <c r="F156" s="7"/>
      <c r="G156" s="7"/>
      <c r="H156" s="7"/>
      <c r="I156" s="7"/>
    </row>
    <row r="157" spans="1:9" x14ac:dyDescent="0.2">
      <c r="A157" s="180" t="s">
        <v>16</v>
      </c>
      <c r="B157" s="181">
        <v>3.1415926500000002</v>
      </c>
      <c r="C157" s="182"/>
      <c r="D157" s="183" t="s">
        <v>171</v>
      </c>
      <c r="E157" s="31"/>
      <c r="F157" s="31"/>
      <c r="G157" s="31"/>
      <c r="H157" s="31"/>
      <c r="I157" s="32"/>
    </row>
    <row r="158" spans="1:9" x14ac:dyDescent="0.2">
      <c r="A158" s="77" t="s">
        <v>186</v>
      </c>
      <c r="B158" s="209"/>
      <c r="C158" s="184" t="s">
        <v>185</v>
      </c>
      <c r="D158" s="186" t="s">
        <v>566</v>
      </c>
      <c r="I158" s="25"/>
    </row>
    <row r="159" spans="1:9" x14ac:dyDescent="0.2">
      <c r="A159" s="77" t="s">
        <v>187</v>
      </c>
      <c r="B159" s="209"/>
      <c r="C159" s="184" t="s">
        <v>185</v>
      </c>
      <c r="D159" s="186"/>
      <c r="I159" s="25"/>
    </row>
    <row r="160" spans="1:9" x14ac:dyDescent="0.2">
      <c r="C160" s="7"/>
      <c r="D160" s="7"/>
      <c r="F160" s="7"/>
      <c r="G160" s="7"/>
      <c r="H160" s="7"/>
      <c r="I160" s="25"/>
    </row>
    <row r="161" spans="1:9" x14ac:dyDescent="0.2">
      <c r="A161" s="111" t="s">
        <v>397</v>
      </c>
      <c r="B161" s="174">
        <f>(Vout+Vfwd1)*Nps*10</f>
        <v>245</v>
      </c>
      <c r="C161" s="17" t="s">
        <v>113</v>
      </c>
      <c r="D161" s="78" t="s">
        <v>535</v>
      </c>
      <c r="F161" s="7"/>
      <c r="G161" s="7"/>
      <c r="H161" s="7"/>
      <c r="I161" s="25">
        <v>1</v>
      </c>
    </row>
    <row r="162" spans="1:9" x14ac:dyDescent="0.2">
      <c r="A162" s="34" t="s">
        <v>534</v>
      </c>
      <c r="B162" s="179">
        <f>Rfb/1000</f>
        <v>246</v>
      </c>
      <c r="C162" s="17" t="s">
        <v>113</v>
      </c>
      <c r="D162" s="78" t="s">
        <v>532</v>
      </c>
      <c r="F162" s="7"/>
      <c r="G162" s="7"/>
      <c r="H162" s="7"/>
      <c r="I162" s="25"/>
    </row>
    <row r="163" spans="1:9" x14ac:dyDescent="0.2">
      <c r="A163" s="111" t="s">
        <v>53</v>
      </c>
      <c r="B163" s="36">
        <f>'Standard Value Calculator'!J10/1000</f>
        <v>243</v>
      </c>
      <c r="C163" s="17" t="s">
        <v>113</v>
      </c>
      <c r="D163" s="78" t="s">
        <v>365</v>
      </c>
      <c r="F163" s="7"/>
      <c r="G163" s="7"/>
      <c r="H163" s="7"/>
      <c r="I163" s="25"/>
    </row>
    <row r="164" spans="1:9" x14ac:dyDescent="0.2">
      <c r="A164" s="78"/>
      <c r="B164" s="12"/>
      <c r="C164" s="17"/>
      <c r="D164" s="78"/>
      <c r="F164" s="7"/>
      <c r="G164" s="7"/>
      <c r="H164" s="7"/>
      <c r="I164" s="25"/>
    </row>
    <row r="165" spans="1:9" x14ac:dyDescent="0.2">
      <c r="A165" s="112" t="s">
        <v>536</v>
      </c>
      <c r="B165" s="612">
        <f>'Design Converter'!E32</f>
        <v>-1.2</v>
      </c>
      <c r="C165" s="112" t="s">
        <v>390</v>
      </c>
      <c r="D165" s="78"/>
      <c r="F165" s="7"/>
      <c r="G165" s="7"/>
      <c r="H165" s="7"/>
      <c r="I165" s="25"/>
    </row>
    <row r="166" spans="1:9" ht="15.75" x14ac:dyDescent="0.3">
      <c r="A166" s="24" t="s">
        <v>531</v>
      </c>
      <c r="B166" s="376">
        <f>3*B162/Nps/ABS(Diode_TC)*1000</f>
        <v>307500</v>
      </c>
      <c r="C166" s="17" t="s">
        <v>136</v>
      </c>
      <c r="D166" s="78"/>
      <c r="F166" s="7"/>
      <c r="G166" s="7"/>
      <c r="H166" s="7"/>
      <c r="I166" s="25"/>
    </row>
    <row r="167" spans="1:9" x14ac:dyDescent="0.2">
      <c r="A167" s="12" t="s">
        <v>537</v>
      </c>
      <c r="B167" s="172">
        <f>'Standard Value Calculator'!J9/1000</f>
        <v>309</v>
      </c>
      <c r="C167" s="17" t="s">
        <v>113</v>
      </c>
      <c r="D167" s="78"/>
      <c r="F167" s="7"/>
      <c r="G167" s="7"/>
      <c r="H167" s="7"/>
      <c r="I167" s="25"/>
    </row>
    <row r="168" spans="1:9" ht="13.5" thickBot="1" x14ac:dyDescent="0.25">
      <c r="A168" s="185"/>
      <c r="B168" s="185"/>
      <c r="C168" s="41"/>
      <c r="D168" s="29"/>
      <c r="E168" s="41"/>
      <c r="F168" s="29"/>
      <c r="G168" s="29"/>
      <c r="H168" s="29"/>
      <c r="I168" s="30"/>
    </row>
    <row r="169" spans="1:9" x14ac:dyDescent="0.2">
      <c r="A169" s="2"/>
      <c r="B169" s="18"/>
      <c r="C169" s="18"/>
      <c r="E169" s="18"/>
    </row>
    <row r="170" spans="1:9" x14ac:dyDescent="0.2">
      <c r="A170" s="2"/>
      <c r="B170" s="18"/>
      <c r="C170" s="18"/>
      <c r="E170" s="18"/>
    </row>
    <row r="171" spans="1:9" ht="16.5" thickBot="1" x14ac:dyDescent="0.3">
      <c r="A171" s="55" t="s">
        <v>83</v>
      </c>
      <c r="B171" s="7"/>
      <c r="C171" s="40"/>
      <c r="D171" s="7"/>
      <c r="E171" s="7"/>
      <c r="F171" s="7"/>
      <c r="G171" s="7"/>
      <c r="H171" s="7"/>
      <c r="I171" s="7"/>
    </row>
    <row r="172" spans="1:9" x14ac:dyDescent="0.2">
      <c r="A172" s="53"/>
      <c r="B172" s="31"/>
      <c r="C172" s="163"/>
      <c r="D172" s="31"/>
      <c r="E172" s="31"/>
      <c r="F172" s="31"/>
      <c r="G172" s="31"/>
      <c r="H172" s="31"/>
      <c r="I172" s="32"/>
    </row>
    <row r="173" spans="1:9" x14ac:dyDescent="0.2">
      <c r="A173" s="34" t="s">
        <v>26</v>
      </c>
      <c r="B173" s="7"/>
      <c r="C173" s="40"/>
      <c r="D173" s="7"/>
      <c r="E173" s="7"/>
      <c r="F173" s="7"/>
      <c r="G173" s="7"/>
      <c r="H173" s="7"/>
      <c r="I173" s="25"/>
    </row>
    <row r="174" spans="1:9" x14ac:dyDescent="0.2">
      <c r="A174" s="24" t="s">
        <v>36</v>
      </c>
      <c r="B174" s="134">
        <f>'Design Converter'!E44</f>
        <v>25</v>
      </c>
      <c r="C174" s="78" t="s">
        <v>102</v>
      </c>
      <c r="D174" s="7" t="s">
        <v>40</v>
      </c>
      <c r="F174" s="7"/>
      <c r="G174" s="7"/>
      <c r="H174" s="7"/>
      <c r="I174" s="25"/>
    </row>
    <row r="175" spans="1:9" x14ac:dyDescent="0.2">
      <c r="A175" s="34" t="s">
        <v>29</v>
      </c>
      <c r="B175" s="7"/>
      <c r="C175" s="7"/>
      <c r="D175" s="7"/>
      <c r="F175" s="7"/>
      <c r="G175" s="7"/>
      <c r="H175" s="7"/>
      <c r="I175" s="25"/>
    </row>
    <row r="176" spans="1:9" x14ac:dyDescent="0.2">
      <c r="A176" s="24" t="s">
        <v>35</v>
      </c>
      <c r="B176" s="27">
        <f>4000/1000000</f>
        <v>4.0000000000000001E-3</v>
      </c>
      <c r="C176" s="78" t="s">
        <v>138</v>
      </c>
      <c r="D176" s="78" t="s">
        <v>567</v>
      </c>
      <c r="F176" s="7"/>
      <c r="G176" s="7"/>
      <c r="H176" s="7"/>
      <c r="I176" s="25"/>
    </row>
    <row r="177" spans="1:9" ht="15.75" x14ac:dyDescent="0.3">
      <c r="A177" s="111" t="s">
        <v>178</v>
      </c>
      <c r="B177" s="27">
        <v>20</v>
      </c>
      <c r="C177" s="112" t="s">
        <v>84</v>
      </c>
      <c r="D177" s="78" t="s">
        <v>568</v>
      </c>
      <c r="F177" s="7"/>
      <c r="G177" s="7"/>
      <c r="H177" s="7"/>
      <c r="I177" s="25"/>
    </row>
    <row r="178" spans="1:9" x14ac:dyDescent="0.2">
      <c r="A178" s="24" t="s">
        <v>37</v>
      </c>
      <c r="B178" s="10">
        <f>RCinEsr</f>
        <v>5.0000000000000001E-3</v>
      </c>
      <c r="C178" s="114" t="s">
        <v>45</v>
      </c>
      <c r="D178" s="78" t="s">
        <v>179</v>
      </c>
      <c r="F178" s="7"/>
      <c r="G178" s="7"/>
      <c r="H178" s="7"/>
      <c r="I178" s="25"/>
    </row>
    <row r="179" spans="1:9" x14ac:dyDescent="0.2">
      <c r="A179" s="24"/>
      <c r="B179" s="10"/>
      <c r="C179" s="114"/>
      <c r="D179" s="78"/>
      <c r="F179" s="7"/>
      <c r="G179" s="7"/>
      <c r="H179" s="7"/>
      <c r="I179" s="25"/>
    </row>
    <row r="180" spans="1:9" x14ac:dyDescent="0.2">
      <c r="A180" s="33" t="s">
        <v>52</v>
      </c>
      <c r="B180" s="7"/>
      <c r="C180" s="7"/>
      <c r="D180" s="7"/>
      <c r="F180" s="7"/>
      <c r="G180" s="7"/>
      <c r="H180" s="7"/>
      <c r="I180" s="25"/>
    </row>
    <row r="181" spans="1:9" x14ac:dyDescent="0.2">
      <c r="A181" s="111" t="s">
        <v>286</v>
      </c>
      <c r="B181" s="27">
        <f>Vdd</f>
        <v>5</v>
      </c>
      <c r="C181" s="61" t="s">
        <v>0</v>
      </c>
      <c r="D181" s="187"/>
      <c r="F181" s="7"/>
      <c r="G181" s="7"/>
      <c r="H181" s="7"/>
      <c r="I181" s="25"/>
    </row>
    <row r="182" spans="1:9" x14ac:dyDescent="0.2">
      <c r="A182" s="24" t="s">
        <v>49</v>
      </c>
      <c r="B182" s="35">
        <f>IQ</f>
        <v>2.9E-4</v>
      </c>
      <c r="C182" s="7" t="s">
        <v>1</v>
      </c>
      <c r="D182" s="7" t="s">
        <v>50</v>
      </c>
      <c r="F182" s="7"/>
      <c r="G182" s="7"/>
      <c r="H182" s="7"/>
      <c r="I182" s="25"/>
    </row>
    <row r="183" spans="1:9" x14ac:dyDescent="0.2">
      <c r="A183" s="24"/>
      <c r="B183" s="7"/>
      <c r="C183" s="7"/>
      <c r="D183" s="7"/>
      <c r="F183" s="7"/>
      <c r="G183" s="7"/>
      <c r="H183" s="7"/>
      <c r="I183" s="25"/>
    </row>
    <row r="184" spans="1:9" x14ac:dyDescent="0.2">
      <c r="A184" s="56" t="s">
        <v>173</v>
      </c>
      <c r="B184" s="43" t="s">
        <v>6</v>
      </c>
      <c r="C184" s="14" t="s">
        <v>33</v>
      </c>
      <c r="D184" s="7"/>
      <c r="F184" s="7"/>
      <c r="G184" s="7"/>
      <c r="H184" s="7"/>
      <c r="I184" s="25"/>
    </row>
    <row r="185" spans="1:9" x14ac:dyDescent="0.2">
      <c r="A185" s="57" t="s">
        <v>44</v>
      </c>
      <c r="B185" s="44"/>
      <c r="C185" s="45" t="s">
        <v>45</v>
      </c>
      <c r="D185" s="7"/>
      <c r="F185" s="7"/>
      <c r="G185" s="7"/>
      <c r="H185" s="7"/>
      <c r="I185" s="25"/>
    </row>
    <row r="186" spans="1:9" x14ac:dyDescent="0.2">
      <c r="A186" s="57" t="s">
        <v>46</v>
      </c>
      <c r="B186" s="13" t="e">
        <f>B185*ThetaJaCtrl</f>
        <v>#NAME?</v>
      </c>
      <c r="C186" s="112" t="s">
        <v>102</v>
      </c>
      <c r="D186" s="7"/>
      <c r="F186" s="7"/>
      <c r="G186" s="7"/>
      <c r="H186" s="7"/>
      <c r="I186" s="25"/>
    </row>
    <row r="187" spans="1:9" x14ac:dyDescent="0.2">
      <c r="A187" s="57" t="s">
        <v>87</v>
      </c>
      <c r="B187" s="13" t="e">
        <f>(Qg_Q1+Qg_Q2)*Fsw+IQ</f>
        <v>#NAME?</v>
      </c>
      <c r="C187" s="12" t="s">
        <v>1</v>
      </c>
      <c r="D187" s="7"/>
      <c r="F187" s="7"/>
      <c r="G187" s="7"/>
      <c r="H187" s="7"/>
      <c r="I187" s="25"/>
    </row>
    <row r="188" spans="1:9" x14ac:dyDescent="0.2">
      <c r="A188" s="57" t="s">
        <v>88</v>
      </c>
      <c r="B188" s="12" t="e">
        <f>Qrr_Q2*Fsw</f>
        <v>#NAME?</v>
      </c>
      <c r="C188" s="12" t="s">
        <v>1</v>
      </c>
      <c r="D188" s="7"/>
      <c r="F188" s="7"/>
      <c r="G188" s="7"/>
      <c r="H188" s="7"/>
      <c r="I188" s="25"/>
    </row>
    <row r="189" spans="1:9" x14ac:dyDescent="0.2">
      <c r="A189" s="57" t="s">
        <v>89</v>
      </c>
      <c r="B189" s="12" t="e">
        <f>C189/Vin</f>
        <v>#NAME?</v>
      </c>
      <c r="C189" s="12" t="e">
        <f>Deadtime*Fsw*(Ipp/2)*(Vsd_Q1+Vsd_Q2)</f>
        <v>#NAME?</v>
      </c>
      <c r="D189" s="7"/>
      <c r="F189" s="7"/>
      <c r="G189" s="7"/>
      <c r="H189" s="7"/>
      <c r="I189" s="25"/>
    </row>
    <row r="190" spans="1:9" x14ac:dyDescent="0.2">
      <c r="A190" s="57" t="s">
        <v>91</v>
      </c>
      <c r="B190" s="12" t="e">
        <f>SUM(B187:B189)</f>
        <v>#NAME?</v>
      </c>
      <c r="C190" s="12" t="s">
        <v>1</v>
      </c>
      <c r="D190" s="7"/>
      <c r="F190" s="7"/>
      <c r="G190" s="7"/>
      <c r="H190" s="7"/>
      <c r="I190" s="25"/>
    </row>
    <row r="191" spans="1:9" ht="13.5" thickBot="1" x14ac:dyDescent="0.25">
      <c r="A191" s="28"/>
      <c r="B191" s="29"/>
      <c r="C191" s="164"/>
      <c r="D191" s="29"/>
      <c r="E191" s="29"/>
      <c r="F191" s="29"/>
      <c r="G191" s="29"/>
      <c r="H191" s="29"/>
      <c r="I191" s="30"/>
    </row>
    <row r="192" spans="1:9" x14ac:dyDescent="0.2">
      <c r="A192" s="2"/>
      <c r="B192" s="2"/>
      <c r="C192" s="2"/>
    </row>
    <row r="193" spans="1:9" ht="21.75" customHeight="1" thickBot="1" x14ac:dyDescent="0.3">
      <c r="A193" s="51" t="s">
        <v>85</v>
      </c>
      <c r="B193" s="7"/>
      <c r="C193" s="40"/>
      <c r="D193" s="7"/>
      <c r="E193" s="7"/>
      <c r="F193" s="7"/>
      <c r="G193" s="7"/>
      <c r="H193" s="7"/>
      <c r="I193" s="7"/>
    </row>
    <row r="194" spans="1:9" x14ac:dyDescent="0.2">
      <c r="A194" s="53"/>
      <c r="B194" s="31"/>
      <c r="C194" s="163"/>
      <c r="D194" s="31"/>
      <c r="E194" s="58"/>
      <c r="F194" s="58"/>
      <c r="G194" s="58"/>
      <c r="H194" s="58"/>
      <c r="I194" s="32"/>
    </row>
    <row r="195" spans="1:9" x14ac:dyDescent="0.2">
      <c r="A195" s="24"/>
      <c r="B195" s="112"/>
      <c r="C195" s="40"/>
      <c r="D195" s="7"/>
      <c r="E195" s="204"/>
      <c r="F195" s="204"/>
      <c r="G195" s="204"/>
      <c r="H195" s="204"/>
      <c r="I195" s="25"/>
    </row>
    <row r="196" spans="1:9" x14ac:dyDescent="0.2">
      <c r="A196" s="24" t="str">
        <f>"RUV1 = "&amp;'Design Converter'!E37&amp;"MΩ"</f>
        <v>RUV1 = 169MΩ</v>
      </c>
      <c r="B196" s="7" t="str">
        <f>C237</f>
        <v>169kΩ</v>
      </c>
      <c r="C196" s="40"/>
      <c r="D196" s="7"/>
      <c r="E196" s="204"/>
      <c r="F196" s="204"/>
      <c r="G196" s="204"/>
      <c r="H196" s="204"/>
      <c r="I196" s="25"/>
    </row>
    <row r="197" spans="1:9" x14ac:dyDescent="0.2">
      <c r="A197" s="24" t="str">
        <f>"RUV2 = "&amp;'Design Converter'!E38&amp;"kΩ"</f>
        <v>RUV2 = 84.5kΩ</v>
      </c>
      <c r="B197" s="7" t="str">
        <f>C238</f>
        <v>84.5kΩ</v>
      </c>
      <c r="C197" s="40"/>
      <c r="D197" s="7"/>
      <c r="E197" s="204"/>
      <c r="F197" s="204"/>
      <c r="G197" s="204"/>
      <c r="H197" s="204"/>
      <c r="I197" s="25"/>
    </row>
    <row r="198" spans="1:9" x14ac:dyDescent="0.2">
      <c r="A198" s="24"/>
      <c r="B198" s="7"/>
      <c r="C198" s="40"/>
      <c r="D198" s="7"/>
      <c r="E198" s="204"/>
      <c r="F198" s="204"/>
      <c r="G198" s="204"/>
      <c r="H198" s="204"/>
      <c r="I198" s="25"/>
    </row>
    <row r="199" spans="1:9" x14ac:dyDescent="0.2">
      <c r="A199" s="24" t="str">
        <f>"Lmag = "&amp;'Design Converter'!L7&amp;"µH"</f>
        <v>Lmag = 84µH</v>
      </c>
      <c r="B199" s="7" t="str">
        <f>'Design Converter'!L7&amp;"µH"</f>
        <v>84µH</v>
      </c>
      <c r="C199" s="40"/>
      <c r="D199" s="7"/>
      <c r="E199" s="7"/>
      <c r="F199" s="7"/>
      <c r="G199" s="7"/>
      <c r="H199" s="7"/>
      <c r="I199" s="25"/>
    </row>
    <row r="200" spans="1:9" x14ac:dyDescent="0.2">
      <c r="A200" s="24" t="str">
        <f>"Rdcr = "&amp;Rdcr_pri*1000&amp;"mΩ"</f>
        <v>Rdcr = 95mΩ</v>
      </c>
      <c r="B200" s="203" t="str">
        <f>Rdcr_pri*1000&amp;"mΩ"</f>
        <v>95mΩ</v>
      </c>
      <c r="C200" s="40"/>
      <c r="D200" s="7"/>
      <c r="E200" s="7"/>
      <c r="F200" s="7"/>
      <c r="G200" s="7"/>
      <c r="H200" s="7"/>
      <c r="I200" s="25"/>
    </row>
    <row r="201" spans="1:9" x14ac:dyDescent="0.2">
      <c r="A201" s="111" t="s">
        <v>395</v>
      </c>
      <c r="B201" s="203" t="str">
        <f>W44</f>
        <v>2 : 1</v>
      </c>
      <c r="C201" s="40"/>
      <c r="D201" s="7"/>
      <c r="E201" s="7"/>
      <c r="F201" s="7"/>
      <c r="G201" s="7"/>
      <c r="H201" s="7"/>
      <c r="I201" s="25"/>
    </row>
    <row r="202" spans="1:9" x14ac:dyDescent="0.2">
      <c r="A202" s="24"/>
      <c r="B202" s="203"/>
      <c r="C202" s="40"/>
      <c r="D202" s="7"/>
      <c r="E202" s="7"/>
      <c r="F202" s="7"/>
      <c r="G202" s="7"/>
      <c r="H202" s="7"/>
      <c r="I202" s="25"/>
    </row>
    <row r="203" spans="1:9" x14ac:dyDescent="0.2">
      <c r="A203" s="24" t="str">
        <f>"Css = "&amp;ROUND(Css_u*1000000000,1)&amp;"nF"</f>
        <v>Css = 39nF</v>
      </c>
      <c r="B203" s="7" t="str">
        <f>ROUND(Css_u*1000000000,1)&amp;"nF"</f>
        <v>39nF</v>
      </c>
      <c r="C203" s="40"/>
      <c r="D203" s="7"/>
      <c r="E203" s="7"/>
      <c r="F203" s="7"/>
      <c r="G203" s="7"/>
      <c r="H203" s="7"/>
      <c r="I203" s="25"/>
    </row>
    <row r="204" spans="1:9" x14ac:dyDescent="0.2">
      <c r="A204" s="24"/>
      <c r="B204" s="7"/>
      <c r="C204" s="40"/>
      <c r="D204" s="7"/>
      <c r="E204" s="7"/>
      <c r="F204" s="7"/>
      <c r="G204" s="7"/>
      <c r="H204" s="7"/>
      <c r="I204" s="25"/>
    </row>
    <row r="205" spans="1:9" x14ac:dyDescent="0.2">
      <c r="A205" s="24" t="s">
        <v>57</v>
      </c>
      <c r="B205" s="7" t="str">
        <f>VIN_nom&amp;"V"</f>
        <v>24V</v>
      </c>
      <c r="C205" s="40"/>
      <c r="D205" s="7"/>
      <c r="E205" s="7"/>
      <c r="F205" s="7"/>
      <c r="G205" s="7"/>
      <c r="H205" s="7"/>
      <c r="I205" s="25"/>
    </row>
    <row r="206" spans="1:9" x14ac:dyDescent="0.2">
      <c r="A206" s="111" t="s">
        <v>188</v>
      </c>
      <c r="B206" s="7" t="str">
        <f>VIN_min&amp;"V..."&amp;VIN_max&amp;"V"</f>
        <v>21.6V...26.4V</v>
      </c>
      <c r="C206" s="40"/>
      <c r="D206" s="7"/>
      <c r="E206" s="7"/>
      <c r="F206" s="7"/>
      <c r="G206" s="7"/>
      <c r="H206" s="7"/>
      <c r="I206" s="25"/>
    </row>
    <row r="207" spans="1:9" x14ac:dyDescent="0.2">
      <c r="A207" s="111"/>
      <c r="B207" s="7"/>
      <c r="C207" s="40"/>
      <c r="D207" s="7"/>
      <c r="E207" s="7"/>
      <c r="F207" s="7"/>
      <c r="G207" s="7"/>
      <c r="H207" s="7"/>
      <c r="I207" s="25"/>
    </row>
    <row r="208" spans="1:9" x14ac:dyDescent="0.2">
      <c r="A208" s="24" t="str">
        <f>"VOUT = "&amp;'Design Converter'!E10&amp;"V"</f>
        <v>VOUT = 12V</v>
      </c>
      <c r="B208" s="7" t="str">
        <f>'Design Converter'!E10&amp;"V"</f>
        <v>12V</v>
      </c>
      <c r="C208" s="40"/>
      <c r="D208" s="7">
        <f>MODE</f>
        <v>1</v>
      </c>
      <c r="E208" s="7"/>
      <c r="F208" s="7"/>
      <c r="G208" s="7"/>
      <c r="H208" s="7"/>
      <c r="I208" s="25"/>
    </row>
    <row r="209" spans="1:9" x14ac:dyDescent="0.2">
      <c r="A209" s="24" t="str">
        <f>"VOUT2 = "&amp;'Design Converter'!E12&amp;"V"</f>
        <v>VOUT2 = -12V</v>
      </c>
      <c r="B209" s="7" t="str">
        <f>IF(MODE_TOP="DUAL", 'Design Converter'!E12&amp;"V", "")</f>
        <v/>
      </c>
      <c r="C209" s="40"/>
      <c r="D209" s="78" t="b">
        <f>MODE=2</f>
        <v>0</v>
      </c>
      <c r="E209" s="7"/>
      <c r="F209" s="7"/>
      <c r="G209" s="7"/>
      <c r="H209" s="7"/>
      <c r="I209" s="25"/>
    </row>
    <row r="210" spans="1:9" x14ac:dyDescent="0.2">
      <c r="A210" s="24" t="str">
        <f>"VOUT2 = "&amp;'Design Converter'!E12&amp;"V"</f>
        <v>VOUT2 = -12V</v>
      </c>
      <c r="B210" s="7" t="str">
        <f>IF(MODE_TOP="BIPOLAR", 'Design Converter'!E12&amp;"V", "")</f>
        <v/>
      </c>
      <c r="C210" s="40"/>
      <c r="D210" s="7"/>
      <c r="E210" s="7"/>
      <c r="F210" s="7"/>
      <c r="G210" s="7"/>
      <c r="H210" s="7"/>
      <c r="I210" s="25"/>
    </row>
    <row r="211" spans="1:9" x14ac:dyDescent="0.2">
      <c r="A211" s="24"/>
      <c r="B211" s="7"/>
      <c r="C211" s="40"/>
      <c r="D211" s="7"/>
      <c r="E211" s="7"/>
      <c r="F211" s="7"/>
      <c r="G211" s="7"/>
      <c r="H211" s="7"/>
      <c r="I211" s="25"/>
    </row>
    <row r="212" spans="1:9" x14ac:dyDescent="0.2">
      <c r="A212" s="402" t="s">
        <v>525</v>
      </c>
      <c r="B212" s="78" t="str">
        <f>IF(MODE=1, "", "Co1")</f>
        <v/>
      </c>
      <c r="C212" s="78" t="str">
        <f>IF(MODE_TOP="DUAL", "Co2", "")</f>
        <v/>
      </c>
      <c r="D212" s="78" t="str">
        <f>IF(MODE_TOP="BIPOLAR", "Co2", "")</f>
        <v/>
      </c>
      <c r="E212" s="7"/>
      <c r="F212" s="78" t="str">
        <f>MODE_TOP</f>
        <v>SINGLE</v>
      </c>
      <c r="G212" s="7"/>
      <c r="H212" s="7"/>
      <c r="I212" s="25"/>
    </row>
    <row r="213" spans="1:9" x14ac:dyDescent="0.2">
      <c r="A213" s="24" t="str">
        <f>"COUT = "&amp;'Design Converter'!$E$21&amp;"µF"</f>
        <v>COUT = 100µF</v>
      </c>
      <c r="B213" s="7" t="str">
        <f>'Design Converter'!$E$21&amp;"µF"</f>
        <v>100µF</v>
      </c>
      <c r="C213" s="7" t="str">
        <f>IF(MODE_TOP="DUAL", 'Design Converter'!$L$21&amp;"µF", "")</f>
        <v/>
      </c>
      <c r="D213" s="7" t="str">
        <f>IF(MODE_TOP="BIPOLAR", 'Design Converter'!$L$21&amp;"µF", "")</f>
        <v/>
      </c>
      <c r="E213" s="7"/>
      <c r="F213" s="7" t="str">
        <f>'Design Converter'!$L$21&amp;"µF"</f>
        <v>47µF</v>
      </c>
      <c r="G213" s="7"/>
      <c r="H213" s="7"/>
      <c r="I213" s="25"/>
    </row>
    <row r="214" spans="1:9" x14ac:dyDescent="0.2">
      <c r="A214" s="111" t="s">
        <v>134</v>
      </c>
      <c r="B214" s="7" t="str">
        <f>"22µF"</f>
        <v>22µF</v>
      </c>
      <c r="C214" s="40"/>
      <c r="D214" s="7"/>
      <c r="E214" s="7"/>
      <c r="F214" s="7"/>
      <c r="G214" s="7"/>
      <c r="H214" s="7"/>
      <c r="I214" s="25"/>
    </row>
    <row r="215" spans="1:9" x14ac:dyDescent="0.2">
      <c r="A215" s="111" t="s">
        <v>135</v>
      </c>
      <c r="B215" s="79" t="str">
        <f>ROUNDUP(Cout/22,0)&amp;" x"</f>
        <v>5 x</v>
      </c>
      <c r="C215" s="165"/>
      <c r="D215" s="7"/>
      <c r="E215" s="7"/>
      <c r="F215" s="7"/>
      <c r="G215" s="7"/>
      <c r="H215" s="7"/>
      <c r="I215" s="25"/>
    </row>
    <row r="216" spans="1:9" x14ac:dyDescent="0.2">
      <c r="A216" s="111"/>
      <c r="B216" s="79">
        <f>Cout</f>
        <v>100</v>
      </c>
      <c r="C216" s="165"/>
      <c r="D216" s="7"/>
      <c r="E216" s="7"/>
      <c r="F216" s="7"/>
      <c r="G216" s="7"/>
      <c r="H216" s="7"/>
      <c r="I216" s="25"/>
    </row>
    <row r="217" spans="1:9" x14ac:dyDescent="0.2">
      <c r="A217" s="402" t="s">
        <v>526</v>
      </c>
      <c r="B217" s="7"/>
      <c r="C217" s="40"/>
      <c r="D217" s="7"/>
      <c r="E217" s="7"/>
      <c r="F217" s="7"/>
      <c r="G217" s="7"/>
      <c r="H217" s="7"/>
      <c r="I217" s="25"/>
    </row>
    <row r="218" spans="1:9" x14ac:dyDescent="0.2">
      <c r="A218" s="24" t="s">
        <v>95</v>
      </c>
      <c r="B218" s="7" t="str">
        <f>Cin&amp;"µF"</f>
        <v>22µF</v>
      </c>
      <c r="E218" s="7"/>
      <c r="F218" s="7"/>
      <c r="G218" s="7"/>
      <c r="H218" s="7"/>
      <c r="I218" s="25"/>
    </row>
    <row r="219" spans="1:9" x14ac:dyDescent="0.2">
      <c r="A219" s="111" t="s">
        <v>133</v>
      </c>
      <c r="B219" s="7" t="str">
        <f>"4.7µF"</f>
        <v>4.7µF</v>
      </c>
      <c r="C219" s="40"/>
      <c r="D219" s="7"/>
      <c r="E219" s="7"/>
      <c r="F219" s="7"/>
      <c r="G219" s="7"/>
      <c r="H219" s="7"/>
      <c r="I219" s="25"/>
    </row>
    <row r="220" spans="1:9" x14ac:dyDescent="0.2">
      <c r="A220" s="111" t="s">
        <v>132</v>
      </c>
      <c r="B220" s="79" t="str">
        <f>ROUNDUP(Cin/4.7,0)&amp;" x"</f>
        <v>5 x</v>
      </c>
      <c r="C220" s="165"/>
      <c r="D220" s="7"/>
      <c r="E220" s="7"/>
      <c r="F220" s="7"/>
      <c r="G220" s="7"/>
      <c r="H220" s="7"/>
      <c r="I220" s="25"/>
    </row>
    <row r="221" spans="1:9" x14ac:dyDescent="0.2">
      <c r="A221" s="111"/>
      <c r="B221" s="79"/>
      <c r="D221" s="7"/>
      <c r="E221" s="7"/>
      <c r="F221" s="7"/>
      <c r="G221" s="7"/>
      <c r="H221" s="7"/>
      <c r="I221" s="25"/>
    </row>
    <row r="222" spans="1:9" ht="15.75" x14ac:dyDescent="0.3">
      <c r="A222" s="111" t="s">
        <v>527</v>
      </c>
      <c r="B222" s="597" t="s">
        <v>528</v>
      </c>
      <c r="C222" s="597" t="s">
        <v>569</v>
      </c>
      <c r="D222" s="7"/>
      <c r="E222" s="7"/>
      <c r="F222" s="7"/>
      <c r="G222" s="7"/>
      <c r="H222" s="7"/>
      <c r="I222" s="25"/>
    </row>
    <row r="223" spans="1:9" x14ac:dyDescent="0.2">
      <c r="A223" s="111"/>
      <c r="B223" s="79"/>
      <c r="D223" s="7"/>
      <c r="E223" s="7"/>
      <c r="F223" s="7"/>
      <c r="G223" s="7"/>
      <c r="H223" s="7"/>
      <c r="I223" s="25"/>
    </row>
    <row r="224" spans="1:9" x14ac:dyDescent="0.2">
      <c r="A224" s="402" t="s">
        <v>394</v>
      </c>
      <c r="B224" s="165" t="str">
        <f>IF(MODE_TC=1, "YES", "NO")</f>
        <v>NO</v>
      </c>
      <c r="D224" s="7"/>
      <c r="E224" s="7"/>
      <c r="F224" s="7"/>
      <c r="G224" s="7"/>
      <c r="H224" s="7"/>
      <c r="I224" s="25"/>
    </row>
    <row r="225" spans="1:9" x14ac:dyDescent="0.2">
      <c r="A225" s="111" t="s">
        <v>301</v>
      </c>
      <c r="B225" s="165" t="str">
        <f>IF(MODE_TC=2, "YES", "NO")</f>
        <v>YES</v>
      </c>
      <c r="C225" s="392" t="str">
        <f>IF(MODE_TC=2, "R1", "")</f>
        <v>R1</v>
      </c>
      <c r="D225" s="392" t="str">
        <f>IF(MODE_TC=2, "R2", "")</f>
        <v>R2</v>
      </c>
      <c r="E225" s="392"/>
      <c r="F225" s="7"/>
      <c r="G225" s="7"/>
      <c r="H225" s="7"/>
      <c r="I225" s="25"/>
    </row>
    <row r="226" spans="1:9" x14ac:dyDescent="0.2">
      <c r="A226" s="24" t="str">
        <f>"RFB = "&amp;'Design Converter'!E26&amp;"kΩ"</f>
        <v>RFB = 245kΩ</v>
      </c>
      <c r="B226" s="7" t="str">
        <f>IF(MODE_TC=1, "", 'Design Converter'!E26&amp;"kΩ")</f>
        <v>245kΩ</v>
      </c>
      <c r="C226" s="78" t="str">
        <f>'Design Converter'!E26&amp;"kΩ"</f>
        <v>245kΩ</v>
      </c>
      <c r="D226" s="7"/>
      <c r="E226" s="7"/>
      <c r="F226" s="7"/>
      <c r="G226" s="7"/>
      <c r="H226" s="7"/>
      <c r="I226" s="25"/>
    </row>
    <row r="227" spans="1:9" x14ac:dyDescent="0.2">
      <c r="A227" s="24" t="str">
        <f>"RFB2 = "&amp;IF(Vout=Vref,"OPEN",'Design Converter'!E27&amp;"kΩ")</f>
        <v>RFB2 = 246kΩ</v>
      </c>
      <c r="B227" s="7" t="str">
        <f>IF(MODE_TC=1, "", IF(Vout=Vref,"OPEN",Rfb2_u/1000&amp;"kΩ"))</f>
        <v>0.243kΩ</v>
      </c>
      <c r="C227" s="78" t="str">
        <f>'Design Converter'!E27&amp;"kΩ"</f>
        <v>246kΩ</v>
      </c>
      <c r="D227" s="7"/>
      <c r="E227" s="7"/>
      <c r="F227" s="7"/>
      <c r="G227" s="7"/>
      <c r="H227" s="7"/>
      <c r="I227" s="25"/>
    </row>
    <row r="228" spans="1:9" x14ac:dyDescent="0.2">
      <c r="A228" s="24"/>
      <c r="B228" s="7"/>
      <c r="C228" s="78"/>
      <c r="D228" s="7"/>
      <c r="E228" s="7"/>
      <c r="F228" s="7"/>
      <c r="G228" s="7"/>
      <c r="H228" s="7"/>
      <c r="I228" s="25"/>
    </row>
    <row r="229" spans="1:9" x14ac:dyDescent="0.2">
      <c r="A229" s="111" t="s">
        <v>305</v>
      </c>
      <c r="B229" s="40" t="str">
        <f>IF(MODE=1, "YES", "NO")</f>
        <v>YES</v>
      </c>
      <c r="C229" s="7" t="str">
        <f>IF(MODE=1,"Rt", "")</f>
        <v>Rt</v>
      </c>
      <c r="D229" s="7"/>
      <c r="E229" s="7"/>
      <c r="F229" s="7"/>
      <c r="G229" s="7"/>
      <c r="H229" s="7"/>
      <c r="I229" s="25"/>
    </row>
    <row r="230" spans="1:9" x14ac:dyDescent="0.2">
      <c r="A230" s="111" t="s">
        <v>139</v>
      </c>
      <c r="B230" s="7" t="e">
        <f>IF(MODE=2, "", 'Standard Value Calculator'!J4/1000&amp;"kΩ")</f>
        <v>#NAME?</v>
      </c>
      <c r="C230" s="40"/>
      <c r="D230" s="7"/>
      <c r="E230" s="7"/>
      <c r="F230" s="7"/>
      <c r="G230" s="7"/>
      <c r="H230" s="7"/>
      <c r="I230" s="25"/>
    </row>
    <row r="231" spans="1:9" x14ac:dyDescent="0.2">
      <c r="A231" s="111"/>
      <c r="B231" s="7"/>
      <c r="C231" s="40"/>
      <c r="D231" s="7"/>
      <c r="E231" s="7"/>
      <c r="F231" s="7"/>
      <c r="G231" s="7"/>
      <c r="H231" s="7"/>
      <c r="I231" s="25"/>
    </row>
    <row r="232" spans="1:9" x14ac:dyDescent="0.2">
      <c r="A232" s="402" t="s">
        <v>384</v>
      </c>
      <c r="B232" s="165" t="str">
        <f>IF(MODE=1, "YES", "NO")</f>
        <v>YES</v>
      </c>
      <c r="C232" s="78" t="str">
        <f>IF(TC=1,"Rtc", "")</f>
        <v/>
      </c>
      <c r="D232" s="7"/>
      <c r="E232" s="7"/>
      <c r="F232" s="7"/>
      <c r="G232" s="7"/>
      <c r="H232" s="7"/>
      <c r="I232" s="25"/>
    </row>
    <row r="233" spans="1:9" x14ac:dyDescent="0.2">
      <c r="A233" s="538" t="str">
        <f>"RTC = "&amp;RTC&amp;"kΩ"</f>
        <v>RTC = 309kΩ</v>
      </c>
      <c r="B233" s="7" t="str">
        <f>IF(TC=1, RTC&amp;"kΩ", "")</f>
        <v/>
      </c>
      <c r="C233" s="78" t="str">
        <f>CHOOSE(TC,"Rtc","")</f>
        <v/>
      </c>
      <c r="D233" s="7"/>
      <c r="E233" s="7"/>
      <c r="F233" s="8"/>
      <c r="G233" s="7"/>
      <c r="H233" s="7"/>
      <c r="I233" s="25"/>
    </row>
    <row r="234" spans="1:9" x14ac:dyDescent="0.2">
      <c r="A234" s="111" t="s">
        <v>387</v>
      </c>
      <c r="B234" s="373"/>
      <c r="C234" s="7"/>
      <c r="D234" s="7"/>
      <c r="E234" s="7"/>
      <c r="F234" s="8"/>
      <c r="G234" s="7"/>
      <c r="H234" s="7"/>
      <c r="I234" s="25"/>
    </row>
    <row r="235" spans="1:9" x14ac:dyDescent="0.2">
      <c r="A235" s="24"/>
      <c r="B235" s="79"/>
      <c r="C235" s="165"/>
      <c r="D235" s="7"/>
      <c r="E235" s="114"/>
      <c r="F235" s="7"/>
      <c r="G235" s="7"/>
      <c r="H235" s="7"/>
      <c r="I235" s="25"/>
    </row>
    <row r="236" spans="1:9" x14ac:dyDescent="0.2">
      <c r="A236" s="402" t="s">
        <v>309</v>
      </c>
      <c r="B236" s="165" t="str">
        <f>IF(MODE_UVLO=1, "YES", "NO")</f>
        <v>YES</v>
      </c>
      <c r="C236" s="392" t="str">
        <f>IF(MODE_UVLO=1, "Ruv1", "")</f>
        <v>Ruv1</v>
      </c>
      <c r="D236" s="392" t="str">
        <f>IF(MODE_UVLO=1, "Ruv2", "")</f>
        <v>Ruv2</v>
      </c>
      <c r="E236" s="392"/>
      <c r="F236" s="392" t="s">
        <v>6</v>
      </c>
      <c r="G236" s="392" t="s">
        <v>33</v>
      </c>
      <c r="H236" s="78" t="s">
        <v>343</v>
      </c>
      <c r="I236" s="25"/>
    </row>
    <row r="237" spans="1:9" x14ac:dyDescent="0.2">
      <c r="A237" s="24" t="str">
        <f>"RUV1 = "&amp;C237</f>
        <v>RUV1 = 169kΩ</v>
      </c>
      <c r="B237" s="7" t="str">
        <f>'Design Converter'!E37&amp;" kΩ"</f>
        <v>169 kΩ</v>
      </c>
      <c r="C237" s="392" t="str">
        <f>IF(MODE_UVLO=1,'Design Converter'!E37&amp;"kΩ", "")</f>
        <v>169kΩ</v>
      </c>
      <c r="F237" s="7">
        <f>IF(MODE_UVLO=1,'Design Converter'!E37, "")</f>
        <v>169</v>
      </c>
      <c r="G237" s="78" t="str">
        <f>IF(MODE_UVLO=1,"kΩ", "")</f>
        <v>kΩ</v>
      </c>
      <c r="H237" s="392" t="str">
        <f>IF(MODE_UVLO=1,'Design Converter'!E37&amp;"k", "")</f>
        <v>169k</v>
      </c>
      <c r="I237" s="25"/>
    </row>
    <row r="238" spans="1:9" x14ac:dyDescent="0.2">
      <c r="A238" s="24" t="str">
        <f>"RUV2 = "&amp;C238</f>
        <v>RUV2 = 84.5kΩ</v>
      </c>
      <c r="B238" s="7" t="str">
        <f>IF(D150&gt;=1000, D150/1000&amp;" MΩ", D150&amp;" kΩ")</f>
        <v>84.5 kΩ</v>
      </c>
      <c r="C238" s="392" t="str">
        <f>IF(MODE_UVLO=1, IF(D150&lt;1, D150*1000&amp;"Ω", IF(D150&lt;1000, D150&amp;"kΩ", D150/1000&amp;"MΩ")), "")</f>
        <v>84.5kΩ</v>
      </c>
      <c r="F238" s="7">
        <f>IF(MODE_UVLO=1, IF(D150&lt;1, D150*1000, IF(D150&lt;1000, D150, D150/1000)), "")</f>
        <v>84.5</v>
      </c>
      <c r="G238" s="78" t="str">
        <f>IF(MODE_UVLO=1, IF(D150&lt;1, "Ω", IF(D150&lt;1000,"kΩ", "MΩ")), "")</f>
        <v>kΩ</v>
      </c>
      <c r="H238" s="392" t="str">
        <f>IF(MODE_UVLO=1, IF(D150&lt;1, D150*1000, IF(D150&lt;1000, D150&amp;"k", D150/1000&amp;"M")), "")</f>
        <v>84.5k</v>
      </c>
      <c r="I238" s="25"/>
    </row>
    <row r="239" spans="1:9" x14ac:dyDescent="0.2">
      <c r="A239" s="24"/>
      <c r="B239" s="7"/>
      <c r="C239" s="392"/>
      <c r="F239" s="7"/>
      <c r="G239" s="78"/>
      <c r="H239" s="392"/>
      <c r="I239" s="25"/>
    </row>
    <row r="240" spans="1:9" x14ac:dyDescent="0.2">
      <c r="A240" s="402" t="s">
        <v>388</v>
      </c>
      <c r="B240" s="7"/>
      <c r="C240" s="392"/>
      <c r="F240" s="7"/>
      <c r="G240" s="78"/>
      <c r="H240" s="392"/>
      <c r="I240" s="25"/>
    </row>
    <row r="241" spans="1:9" x14ac:dyDescent="0.2">
      <c r="A241" s="24" t="str">
        <f>"RSET = "&amp;C241</f>
        <v>RSET = 12.1kΩ</v>
      </c>
      <c r="B241" s="78" t="s">
        <v>383</v>
      </c>
      <c r="C241" s="78" t="s">
        <v>549</v>
      </c>
      <c r="F241" s="7">
        <f>IF(MODE_UVLO=1, IF(D151&lt;1, D151*1000, IF(D151&lt;1000, D151, D151/1000)), "")</f>
        <v>0</v>
      </c>
      <c r="G241" s="78" t="str">
        <f>IF(MODE_UVLO=1, IF(D151&lt;1, "Ω", IF(D151&lt;1000,"kΩ", "MΩ")), "")</f>
        <v>Ω</v>
      </c>
      <c r="H241" s="392">
        <f>IF(MODE_UVLO=1, IF(D151&lt;1, D151*1000, IF(D151&lt;1000, D151&amp;"k", D151&amp;"M")), "")</f>
        <v>0</v>
      </c>
      <c r="I241" s="25"/>
    </row>
    <row r="242" spans="1:9" x14ac:dyDescent="0.2">
      <c r="A242" s="24"/>
      <c r="B242" s="78"/>
      <c r="C242" s="78"/>
      <c r="F242" s="7"/>
      <c r="G242" s="78"/>
      <c r="H242" s="392"/>
      <c r="I242" s="25"/>
    </row>
    <row r="243" spans="1:9" x14ac:dyDescent="0.2">
      <c r="A243" s="402" t="s">
        <v>389</v>
      </c>
      <c r="B243" s="79"/>
      <c r="C243" s="165"/>
      <c r="D243" s="7"/>
      <c r="E243" s="114"/>
      <c r="F243" s="7"/>
      <c r="G243" s="7"/>
      <c r="H243" s="7"/>
      <c r="I243" s="25"/>
    </row>
    <row r="244" spans="1:9" x14ac:dyDescent="0.2">
      <c r="A244" s="24" t="str">
        <f>"Css = "&amp;Css*1000000000&amp;"nF"</f>
        <v>Css = 40nF</v>
      </c>
      <c r="B244" s="7" t="str">
        <f>Css*1000000000&amp;"nF"</f>
        <v>40nF</v>
      </c>
      <c r="D244" s="7"/>
      <c r="E244" s="7"/>
      <c r="F244" s="7"/>
      <c r="G244" s="7"/>
      <c r="H244" s="7"/>
      <c r="I244" s="25"/>
    </row>
    <row r="245" spans="1:9" x14ac:dyDescent="0.2">
      <c r="A245" s="24" t="s">
        <v>66</v>
      </c>
      <c r="B245" s="7" t="str">
        <f>CHOOSE(MODE_SS,'Standard Value Calculator'!B4*1000000000&amp;"nF","")</f>
        <v/>
      </c>
      <c r="C245" s="7" t="str">
        <f>CHOOSE(MODE_SS,"Css","")</f>
        <v/>
      </c>
      <c r="D245" s="403" t="str">
        <f>B245</f>
        <v/>
      </c>
      <c r="E245" s="7"/>
      <c r="F245" s="7"/>
      <c r="G245" s="7"/>
      <c r="H245" s="7"/>
      <c r="I245" s="25"/>
    </row>
    <row r="246" spans="1:9" x14ac:dyDescent="0.2">
      <c r="A246" s="24"/>
      <c r="B246" s="7"/>
      <c r="C246" s="78" t="str">
        <f>C245</f>
        <v/>
      </c>
      <c r="D246" s="40"/>
      <c r="E246" s="7"/>
      <c r="F246" s="7"/>
      <c r="G246" s="7"/>
      <c r="H246" s="7"/>
      <c r="I246" s="25"/>
    </row>
    <row r="247" spans="1:9" x14ac:dyDescent="0.2">
      <c r="A247" s="24"/>
      <c r="B247" s="7"/>
      <c r="C247" s="78"/>
      <c r="D247" s="40"/>
      <c r="E247" s="7"/>
      <c r="F247" s="7"/>
      <c r="G247" s="7"/>
      <c r="H247" s="7"/>
      <c r="I247" s="25"/>
    </row>
    <row r="248" spans="1:9" x14ac:dyDescent="0.2">
      <c r="A248" s="111" t="s">
        <v>662</v>
      </c>
      <c r="B248" s="78">
        <f>ROUND(Iout*2,1)</f>
        <v>0.8</v>
      </c>
      <c r="C248" s="78" t="s">
        <v>1</v>
      </c>
      <c r="D248" s="7"/>
      <c r="E248" s="7"/>
      <c r="F248" s="7"/>
      <c r="G248" s="7"/>
      <c r="H248" s="7"/>
      <c r="I248" s="25"/>
    </row>
    <row r="249" spans="1:9" x14ac:dyDescent="0.2">
      <c r="A249" s="111" t="s">
        <v>663</v>
      </c>
      <c r="B249">
        <f>ROUND(VRRM_DIODE,0)</f>
        <v>25</v>
      </c>
      <c r="C249" s="78" t="s">
        <v>0</v>
      </c>
      <c r="D249" s="7"/>
      <c r="E249" s="7"/>
      <c r="F249" s="7"/>
      <c r="G249" s="7"/>
      <c r="H249" s="7"/>
      <c r="I249" s="25"/>
    </row>
    <row r="250" spans="1:9" x14ac:dyDescent="0.2">
      <c r="F250" s="7"/>
      <c r="G250" s="7"/>
      <c r="H250" s="7"/>
      <c r="I250" s="25"/>
    </row>
    <row r="251" spans="1:9" x14ac:dyDescent="0.2">
      <c r="A251" s="111"/>
      <c r="B251" s="373"/>
      <c r="C251" s="7"/>
      <c r="D251" s="7"/>
      <c r="E251" s="7"/>
      <c r="F251" s="7"/>
      <c r="G251" s="7"/>
      <c r="H251" s="7"/>
      <c r="I251" s="25"/>
    </row>
    <row r="252" spans="1:9" x14ac:dyDescent="0.2">
      <c r="A252" s="111" t="s">
        <v>129</v>
      </c>
      <c r="B252" s="78" t="s">
        <v>314</v>
      </c>
      <c r="C252" s="7"/>
      <c r="D252" s="7"/>
      <c r="E252" s="7"/>
      <c r="F252" s="7"/>
      <c r="G252" s="7"/>
      <c r="H252" s="7"/>
      <c r="I252" s="25"/>
    </row>
    <row r="253" spans="1:9" x14ac:dyDescent="0.2">
      <c r="A253" s="111"/>
      <c r="B253" s="78"/>
      <c r="C253" s="7"/>
      <c r="D253" s="7"/>
      <c r="E253" s="7"/>
      <c r="F253" s="7"/>
      <c r="G253" s="7"/>
      <c r="H253" s="7"/>
      <c r="I253" s="25"/>
    </row>
    <row r="254" spans="1:9" x14ac:dyDescent="0.2">
      <c r="A254" s="111" t="s">
        <v>184</v>
      </c>
      <c r="B254" s="358" t="str">
        <f>CHOOSE(MODE, ROUND('Calculations - Single'!$CA$105,1)&amp;"%", ROUND('Calculations - Dual'!CA105,1)&amp;"%")</f>
        <v>93.4%</v>
      </c>
      <c r="C254" s="7"/>
      <c r="D254" s="7"/>
      <c r="E254" s="7"/>
      <c r="F254" s="7"/>
      <c r="G254" s="7"/>
      <c r="H254" s="7"/>
      <c r="I254" s="25"/>
    </row>
    <row r="255" spans="1:9" x14ac:dyDescent="0.2">
      <c r="A255" s="111" t="s">
        <v>505</v>
      </c>
      <c r="B255" s="358" t="str">
        <f>ROUND('Calculations - Single'!$CA$55,1)&amp;"%"</f>
        <v>91.8%</v>
      </c>
      <c r="C255" s="7"/>
      <c r="D255" s="7"/>
      <c r="E255" s="7"/>
      <c r="F255" s="7"/>
      <c r="G255" s="7"/>
      <c r="H255" s="7"/>
      <c r="I255" s="25"/>
    </row>
    <row r="256" spans="1:9" x14ac:dyDescent="0.2">
      <c r="A256" s="111" t="s">
        <v>311</v>
      </c>
      <c r="B256" s="358" t="str">
        <f>ROUND('Calculations - Single'!$CA$15,1)&amp;"%"</f>
        <v>88%</v>
      </c>
      <c r="C256" s="78" t="s">
        <v>316</v>
      </c>
      <c r="D256" s="7"/>
      <c r="E256" s="7"/>
      <c r="F256" s="7"/>
      <c r="G256" s="7"/>
      <c r="H256" s="7"/>
      <c r="I256" s="25"/>
    </row>
    <row r="257" spans="1:9" x14ac:dyDescent="0.2">
      <c r="A257" s="111" t="s">
        <v>315</v>
      </c>
      <c r="B257" s="358" t="str">
        <f>ROUND(Parameters!BZ56,1)&amp;"%"</f>
        <v>0%</v>
      </c>
      <c r="C257" s="78" t="s">
        <v>317</v>
      </c>
      <c r="D257" s="7"/>
      <c r="E257" s="7"/>
      <c r="F257" s="7"/>
      <c r="G257" s="7"/>
      <c r="H257" s="7"/>
      <c r="I257" s="25"/>
    </row>
    <row r="258" spans="1:9" x14ac:dyDescent="0.2">
      <c r="A258" s="24"/>
      <c r="B258" s="7"/>
      <c r="C258" s="40"/>
      <c r="D258" s="7"/>
      <c r="E258" s="7"/>
      <c r="F258" s="7"/>
      <c r="G258" s="7"/>
      <c r="H258" s="7"/>
      <c r="I258" s="25"/>
    </row>
    <row r="259" spans="1:9" x14ac:dyDescent="0.2">
      <c r="A259" s="24"/>
      <c r="B259" s="7"/>
      <c r="C259" s="40"/>
      <c r="D259" s="7"/>
      <c r="E259" s="7"/>
      <c r="F259" s="7"/>
      <c r="G259" s="7"/>
      <c r="H259" s="7"/>
      <c r="I259" s="25"/>
    </row>
    <row r="260" spans="1:9" x14ac:dyDescent="0.2">
      <c r="A260" s="24"/>
      <c r="B260" s="7"/>
      <c r="C260" s="40"/>
      <c r="D260" s="7"/>
      <c r="E260" s="7"/>
      <c r="F260" s="7"/>
      <c r="G260" s="7"/>
      <c r="H260" s="7"/>
      <c r="I260" s="25"/>
    </row>
    <row r="261" spans="1:9" x14ac:dyDescent="0.2">
      <c r="A261" s="24" t="s">
        <v>80</v>
      </c>
      <c r="B261" s="7" t="str">
        <f>IF(C261="y","","|")</f>
        <v>|</v>
      </c>
      <c r="C261" s="40" t="s">
        <v>323</v>
      </c>
      <c r="D261" s="7"/>
      <c r="E261" s="7"/>
      <c r="F261" s="7"/>
      <c r="G261" s="7"/>
      <c r="H261" s="7"/>
      <c r="I261" s="25"/>
    </row>
    <row r="262" spans="1:9" x14ac:dyDescent="0.2">
      <c r="A262" s="24"/>
      <c r="B262" s="7"/>
      <c r="C262" s="40"/>
      <c r="D262" s="7"/>
      <c r="E262" s="7"/>
      <c r="F262" s="7"/>
      <c r="G262" s="7"/>
      <c r="H262" s="7"/>
      <c r="I262" s="25"/>
    </row>
    <row r="263" spans="1:9" x14ac:dyDescent="0.2">
      <c r="A263" s="510" t="s">
        <v>86</v>
      </c>
      <c r="B263" s="7" t="str">
        <f>'Design Converter'!$E$11&amp;"A"</f>
        <v>0.4A</v>
      </c>
      <c r="C263" s="40"/>
      <c r="D263" s="7"/>
      <c r="E263" s="7"/>
      <c r="F263" s="7"/>
      <c r="G263" s="7"/>
      <c r="H263" s="7"/>
      <c r="I263" s="25"/>
    </row>
    <row r="264" spans="1:9" x14ac:dyDescent="0.2">
      <c r="A264" s="510" t="s">
        <v>524</v>
      </c>
      <c r="B264" s="7" t="str">
        <f>IF(MODE_TOP="DUAL", 'Design Converter'!$E$13&amp;"A", "")</f>
        <v/>
      </c>
      <c r="C264" s="40"/>
      <c r="D264" s="78">
        <f>MODE</f>
        <v>1</v>
      </c>
      <c r="E264" s="7"/>
      <c r="F264" s="7"/>
      <c r="G264" s="7"/>
      <c r="H264" s="7"/>
      <c r="I264" s="25"/>
    </row>
    <row r="265" spans="1:9" x14ac:dyDescent="0.2">
      <c r="A265" s="510" t="s">
        <v>523</v>
      </c>
      <c r="B265" s="7" t="str">
        <f>IF(MODE_TOP="BIPOLAR", Iout2_actual&amp;"A", "")</f>
        <v/>
      </c>
      <c r="C265" s="40"/>
      <c r="D265" s="7"/>
      <c r="E265" s="7"/>
      <c r="F265" s="7"/>
      <c r="G265" s="7"/>
      <c r="H265" s="7"/>
      <c r="I265" s="25"/>
    </row>
    <row r="266" spans="1:9" x14ac:dyDescent="0.2">
      <c r="A266" s="24"/>
      <c r="B266" s="7"/>
      <c r="C266" s="40"/>
      <c r="D266" s="7"/>
      <c r="E266" s="7"/>
      <c r="F266" s="7"/>
      <c r="G266" s="7"/>
      <c r="H266" s="7"/>
      <c r="I266" s="25"/>
    </row>
    <row r="267" spans="1:9" x14ac:dyDescent="0.2">
      <c r="A267" s="111" t="s">
        <v>94</v>
      </c>
      <c r="B267" s="7">
        <v>1</v>
      </c>
      <c r="C267" s="40"/>
      <c r="D267" s="7"/>
      <c r="E267" s="7"/>
      <c r="F267" s="7"/>
      <c r="G267" s="7"/>
      <c r="H267" s="7"/>
      <c r="I267" s="25"/>
    </row>
    <row r="268" spans="1:9" x14ac:dyDescent="0.2">
      <c r="A268" s="111" t="s">
        <v>93</v>
      </c>
      <c r="B268" s="7">
        <v>2</v>
      </c>
      <c r="C268" s="40"/>
      <c r="D268" s="7"/>
      <c r="E268" s="7"/>
      <c r="F268" s="7"/>
      <c r="G268" s="7"/>
      <c r="H268" s="7"/>
      <c r="I268" s="25"/>
    </row>
    <row r="269" spans="1:9" x14ac:dyDescent="0.2">
      <c r="A269" s="613" t="s">
        <v>57</v>
      </c>
      <c r="B269" s="7">
        <v>3</v>
      </c>
      <c r="C269" s="40"/>
      <c r="D269" s="7"/>
      <c r="E269" s="7"/>
      <c r="F269" s="7"/>
      <c r="G269" s="7"/>
      <c r="H269" s="7"/>
      <c r="I269" s="25"/>
    </row>
    <row r="270" spans="1:9" x14ac:dyDescent="0.2">
      <c r="A270" s="111" t="s">
        <v>570</v>
      </c>
      <c r="B270" s="7">
        <v>4</v>
      </c>
      <c r="C270" s="40"/>
      <c r="D270" s="7"/>
      <c r="E270" s="7"/>
      <c r="F270" s="7"/>
      <c r="G270" s="7"/>
      <c r="H270" s="7"/>
      <c r="I270" s="25"/>
    </row>
    <row r="271" spans="1:9" x14ac:dyDescent="0.2">
      <c r="A271" s="111" t="s">
        <v>571</v>
      </c>
      <c r="B271" s="7">
        <v>5</v>
      </c>
      <c r="C271" s="40"/>
      <c r="D271" s="7"/>
      <c r="E271" s="7"/>
      <c r="F271" s="7"/>
      <c r="G271" s="7"/>
      <c r="H271" s="7"/>
      <c r="I271" s="25"/>
    </row>
    <row r="272" spans="1:9" x14ac:dyDescent="0.2">
      <c r="A272" s="111" t="s">
        <v>572</v>
      </c>
      <c r="B272" s="7">
        <v>6</v>
      </c>
      <c r="C272" s="40"/>
      <c r="D272" s="7"/>
      <c r="E272" s="7"/>
      <c r="F272" s="7"/>
      <c r="G272" s="7"/>
      <c r="H272" s="7"/>
      <c r="I272" s="25"/>
    </row>
    <row r="273" spans="1:9" x14ac:dyDescent="0.2">
      <c r="A273" s="111" t="s">
        <v>573</v>
      </c>
      <c r="B273" s="7">
        <v>7</v>
      </c>
      <c r="C273" s="40"/>
      <c r="D273" s="7"/>
      <c r="E273" s="7"/>
      <c r="F273" s="7"/>
      <c r="G273" s="7"/>
      <c r="H273" s="7"/>
      <c r="I273" s="25"/>
    </row>
    <row r="274" spans="1:9" x14ac:dyDescent="0.2">
      <c r="A274" s="613" t="s">
        <v>92</v>
      </c>
      <c r="B274" s="7">
        <v>8</v>
      </c>
      <c r="C274" s="40"/>
      <c r="D274" s="7"/>
      <c r="E274" s="7"/>
      <c r="F274" s="7"/>
      <c r="G274" s="7"/>
      <c r="H274" s="7"/>
      <c r="I274" s="25"/>
    </row>
    <row r="275" spans="1:9" ht="13.5" thickBot="1" x14ac:dyDescent="0.25">
      <c r="A275" s="212"/>
      <c r="B275" s="29"/>
      <c r="C275" s="164"/>
      <c r="D275" s="29"/>
      <c r="E275" s="29"/>
      <c r="F275" s="29"/>
      <c r="G275" s="29"/>
      <c r="H275" s="29"/>
      <c r="I275" s="30"/>
    </row>
  </sheetData>
  <sheetProtection selectLockedCells="1"/>
  <mergeCells count="2">
    <mergeCell ref="E5:H5"/>
    <mergeCell ref="A1:I1"/>
  </mergeCells>
  <phoneticPr fontId="6" type="noConversion"/>
  <pageMargins left="0.75" right="0.75" top="1" bottom="1" header="0.5" footer="0.5"/>
  <pageSetup orientation="portrait" r:id="rId1"/>
  <headerFooter alignWithMargins="0"/>
  <ignoredErrors>
    <ignoredError sqref="R56:R60"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locked="0" defaultSize="0" autoLine="0" autoPict="0">
                <anchor moveWithCells="1">
                  <from>
                    <xdr:col>9</xdr:col>
                    <xdr:colOff>447675</xdr:colOff>
                    <xdr:row>6</xdr:row>
                    <xdr:rowOff>19050</xdr:rowOff>
                  </from>
                  <to>
                    <xdr:col>10</xdr:col>
                    <xdr:colOff>666750</xdr:colOff>
                    <xdr:row>7</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7030A0"/>
  </sheetPr>
  <dimension ref="B1:CG321"/>
  <sheetViews>
    <sheetView zoomScaleNormal="100" workbookViewId="0">
      <pane xSplit="6" ySplit="4" topLeftCell="AU5" activePane="bottomRight" state="frozen"/>
      <selection pane="topRight" activeCell="G1" sqref="G1"/>
      <selection pane="bottomLeft" activeCell="A5" sqref="A5"/>
      <selection pane="bottomRight" activeCell="BM5" sqref="BM5"/>
    </sheetView>
  </sheetViews>
  <sheetFormatPr defaultRowHeight="12.75" x14ac:dyDescent="0.2"/>
  <cols>
    <col min="1" max="1" width="2.85546875" customWidth="1"/>
    <col min="2" max="2" width="3.5703125" customWidth="1"/>
    <col min="3" max="3" width="2.85546875" customWidth="1"/>
    <col min="4" max="4" width="3.7109375" customWidth="1"/>
    <col min="5" max="5" width="6.140625" customWidth="1"/>
    <col min="6" max="7" width="7.7109375" customWidth="1"/>
    <col min="8" max="8" width="7.85546875" customWidth="1"/>
    <col min="9" max="9" width="6.28515625" customWidth="1"/>
    <col min="10" max="10" width="9.5703125" customWidth="1"/>
    <col min="11" max="11" width="9.28515625" customWidth="1"/>
    <col min="12" max="12" width="1.85546875" customWidth="1"/>
    <col min="13" max="13" width="8.42578125" customWidth="1"/>
    <col min="14" max="15" width="9.5703125" customWidth="1"/>
    <col min="16" max="16" width="8.85546875" customWidth="1"/>
    <col min="17" max="18" width="8.5703125" customWidth="1"/>
    <col min="19" max="19" width="12.42578125" customWidth="1"/>
    <col min="20" max="20" width="10.42578125" customWidth="1"/>
    <col min="21" max="21" width="7.5703125" customWidth="1"/>
    <col min="22" max="22" width="9" customWidth="1"/>
    <col min="23" max="23" width="8.85546875" customWidth="1"/>
    <col min="24" max="24" width="10" customWidth="1"/>
    <col min="25" max="25" width="9.5703125" customWidth="1"/>
    <col min="26" max="26" width="1.85546875" customWidth="1"/>
    <col min="27" max="27" width="9.85546875" customWidth="1"/>
    <col min="28" max="28" width="10.42578125" customWidth="1"/>
    <col min="29" max="29" width="10.140625" customWidth="1"/>
    <col min="30" max="30" width="2" customWidth="1"/>
    <col min="31" max="31" width="9.140625" customWidth="1"/>
    <col min="32" max="32" width="9.42578125" customWidth="1"/>
    <col min="33" max="33" width="10.42578125" customWidth="1"/>
    <col min="34" max="34" width="2.140625" customWidth="1"/>
    <col min="36" max="36" width="8" customWidth="1"/>
    <col min="38" max="38" width="2.28515625" customWidth="1"/>
    <col min="39" max="39" width="6.5703125" customWidth="1"/>
    <col min="40" max="40" width="7.5703125" customWidth="1"/>
    <col min="41" max="41" width="2" customWidth="1"/>
    <col min="42" max="42" width="6.42578125" customWidth="1"/>
    <col min="43" max="43" width="7.5703125" customWidth="1"/>
    <col min="44" max="44" width="2.140625" customWidth="1"/>
    <col min="45" max="48" width="7" customWidth="1"/>
    <col min="49" max="50" width="8.42578125" customWidth="1"/>
    <col min="51" max="52" width="11" customWidth="1"/>
    <col min="53" max="53" width="9.42578125" customWidth="1"/>
    <col min="54" max="54" width="9.85546875" customWidth="1"/>
    <col min="55" max="55" width="2" customWidth="1"/>
    <col min="58" max="58" width="2.140625" customWidth="1"/>
    <col min="59" max="59" width="9" customWidth="1"/>
    <col min="60" max="61" width="8.140625" customWidth="1"/>
    <col min="62" max="62" width="8.7109375" customWidth="1"/>
    <col min="63" max="63" width="7.5703125" customWidth="1"/>
    <col min="64" max="64" width="10.5703125" customWidth="1"/>
    <col min="65" max="65" width="8.7109375" customWidth="1"/>
    <col min="66" max="67" width="10.28515625" customWidth="1"/>
    <col min="68" max="69" width="10.5703125" customWidth="1"/>
    <col min="70" max="70" width="8.7109375" customWidth="1"/>
    <col min="72" max="72" width="9.85546875" customWidth="1"/>
    <col min="73" max="73" width="11.5703125" customWidth="1"/>
    <col min="74" max="74" width="12.140625" customWidth="1"/>
    <col min="75" max="75" width="9.140625" customWidth="1"/>
    <col min="77" max="77" width="7.7109375" customWidth="1"/>
    <col min="78" max="78" width="10.42578125" customWidth="1"/>
    <col min="79" max="79" width="12.42578125" bestFit="1" customWidth="1"/>
    <col min="80" max="80" width="4.5703125" customWidth="1"/>
    <col min="81" max="81" width="5" customWidth="1"/>
    <col min="82" max="82" width="9.5703125" customWidth="1"/>
  </cols>
  <sheetData>
    <row r="1" spans="2:83" x14ac:dyDescent="0.2">
      <c r="B1" s="455" t="s">
        <v>530</v>
      </c>
      <c r="M1">
        <f>Vfwd2</f>
        <v>0.3</v>
      </c>
      <c r="BB1">
        <f>Ltc</f>
        <v>4.0000000000000001E-3</v>
      </c>
      <c r="BS1">
        <f>Ta</f>
        <v>25</v>
      </c>
    </row>
    <row r="2" spans="2:83" ht="13.5" thickBot="1" x14ac:dyDescent="0.25">
      <c r="M2">
        <f>Vfwd1</f>
        <v>0.25</v>
      </c>
      <c r="U2">
        <f>Isw_max</f>
        <v>1.45</v>
      </c>
    </row>
    <row r="3" spans="2:83" x14ac:dyDescent="0.2">
      <c r="E3" s="225" t="s">
        <v>432</v>
      </c>
      <c r="F3" s="557"/>
      <c r="G3" s="557"/>
      <c r="H3" s="557"/>
      <c r="I3" s="226"/>
      <c r="J3" s="227"/>
      <c r="K3" s="541"/>
      <c r="L3" s="541"/>
      <c r="M3" s="689" t="s">
        <v>190</v>
      </c>
      <c r="N3" s="690"/>
      <c r="O3" s="691"/>
      <c r="P3" s="689"/>
      <c r="Q3" s="689"/>
      <c r="R3" s="691"/>
      <c r="S3" s="691"/>
      <c r="T3" s="691"/>
      <c r="U3" s="689"/>
      <c r="V3" s="690"/>
      <c r="W3" s="690"/>
      <c r="X3" s="689"/>
      <c r="Y3" s="690"/>
      <c r="Z3" s="689"/>
      <c r="AA3" s="692"/>
      <c r="AB3" s="550"/>
      <c r="AC3" s="550"/>
      <c r="AD3" s="550"/>
      <c r="AE3" s="550"/>
      <c r="AF3" s="550"/>
      <c r="AG3" s="550"/>
      <c r="AH3" s="550"/>
      <c r="AI3" s="550"/>
      <c r="AJ3" s="550"/>
      <c r="AK3" s="550"/>
      <c r="AL3" s="550"/>
      <c r="AM3" s="550"/>
      <c r="AN3" s="550"/>
      <c r="AO3" s="550"/>
      <c r="AP3" s="550"/>
      <c r="AQ3" s="550"/>
      <c r="AR3" s="550"/>
      <c r="AS3" s="550" t="s">
        <v>471</v>
      </c>
      <c r="AT3" s="550"/>
      <c r="AU3" s="550"/>
      <c r="AV3" s="550"/>
      <c r="AW3" s="550"/>
      <c r="AX3" s="550"/>
      <c r="AY3" s="550"/>
      <c r="AZ3" s="550"/>
      <c r="BA3" s="550" t="s">
        <v>481</v>
      </c>
      <c r="BB3" s="550"/>
      <c r="BC3" s="550"/>
      <c r="BD3" s="576" t="s">
        <v>482</v>
      </c>
      <c r="BE3" s="550"/>
      <c r="BF3" s="550"/>
      <c r="BG3" s="576" t="s">
        <v>506</v>
      </c>
      <c r="BH3" s="550"/>
      <c r="BI3" s="550"/>
      <c r="BJ3" s="550"/>
      <c r="BK3" s="550"/>
      <c r="BL3" s="550"/>
      <c r="BM3" s="550"/>
      <c r="BN3" s="576" t="s">
        <v>502</v>
      </c>
      <c r="BO3" s="550"/>
      <c r="BP3" s="550"/>
      <c r="BQ3" s="550"/>
      <c r="BR3" s="577" t="s">
        <v>503</v>
      </c>
      <c r="BS3" s="550"/>
      <c r="BT3" s="550"/>
      <c r="BU3" s="550"/>
      <c r="BV3" s="550"/>
      <c r="BW3" s="550"/>
      <c r="BX3" s="576"/>
      <c r="BY3" s="550"/>
      <c r="BZ3" s="550"/>
      <c r="CA3" s="550"/>
      <c r="CB3" s="550"/>
    </row>
    <row r="4" spans="2:83" ht="45" customHeight="1" thickBot="1" x14ac:dyDescent="0.25">
      <c r="E4" s="246" t="s">
        <v>25</v>
      </c>
      <c r="F4" s="454" t="s">
        <v>195</v>
      </c>
      <c r="G4" s="265"/>
      <c r="H4" s="544" t="s">
        <v>224</v>
      </c>
      <c r="I4" s="247" t="s">
        <v>423</v>
      </c>
      <c r="J4" s="248" t="s">
        <v>429</v>
      </c>
      <c r="K4" s="544" t="s">
        <v>424</v>
      </c>
      <c r="L4" s="544"/>
      <c r="M4" s="249" t="s">
        <v>48</v>
      </c>
      <c r="N4" s="544" t="s">
        <v>413</v>
      </c>
      <c r="O4" s="544" t="s">
        <v>681</v>
      </c>
      <c r="P4" s="544" t="s">
        <v>414</v>
      </c>
      <c r="Q4" s="544" t="s">
        <v>444</v>
      </c>
      <c r="R4" s="544" t="s">
        <v>679</v>
      </c>
      <c r="S4" s="544" t="s">
        <v>682</v>
      </c>
      <c r="T4" s="544" t="s">
        <v>680</v>
      </c>
      <c r="U4" s="544" t="s">
        <v>425</v>
      </c>
      <c r="V4" s="544" t="s">
        <v>477</v>
      </c>
      <c r="W4" s="544" t="s">
        <v>476</v>
      </c>
      <c r="X4" s="564" t="s">
        <v>431</v>
      </c>
      <c r="Y4" s="559" t="s">
        <v>436</v>
      </c>
      <c r="AA4" s="250" t="s">
        <v>428</v>
      </c>
      <c r="AB4" s="250" t="s">
        <v>475</v>
      </c>
      <c r="AC4" s="250" t="s">
        <v>434</v>
      </c>
      <c r="AD4" s="561"/>
      <c r="AE4" s="250" t="s">
        <v>474</v>
      </c>
      <c r="AF4" s="250" t="s">
        <v>437</v>
      </c>
      <c r="AG4" s="250" t="s">
        <v>438</v>
      </c>
      <c r="AH4" s="561"/>
      <c r="AI4" s="250" t="s">
        <v>440</v>
      </c>
      <c r="AJ4" s="565" t="s">
        <v>441</v>
      </c>
      <c r="AK4" s="565" t="s">
        <v>442</v>
      </c>
      <c r="AM4" s="560" t="s">
        <v>276</v>
      </c>
      <c r="AN4" s="560" t="s">
        <v>443</v>
      </c>
      <c r="AP4" s="250" t="s">
        <v>276</v>
      </c>
      <c r="AQ4" s="250" t="s">
        <v>443</v>
      </c>
      <c r="AR4" s="566"/>
      <c r="AS4" s="250" t="s">
        <v>478</v>
      </c>
      <c r="AT4" s="250" t="s">
        <v>472</v>
      </c>
      <c r="AU4" s="250" t="s">
        <v>473</v>
      </c>
      <c r="AV4" s="250" t="s">
        <v>678</v>
      </c>
      <c r="AW4" s="250" t="s">
        <v>48</v>
      </c>
      <c r="AX4" s="566" t="s">
        <v>676</v>
      </c>
      <c r="AY4" s="561" t="s">
        <v>675</v>
      </c>
      <c r="AZ4" s="561" t="s">
        <v>677</v>
      </c>
      <c r="BA4" s="250" t="s">
        <v>493</v>
      </c>
      <c r="BB4" s="250" t="s">
        <v>529</v>
      </c>
      <c r="BC4" s="561"/>
      <c r="BD4" s="575" t="s">
        <v>467</v>
      </c>
      <c r="BE4" s="250" t="s">
        <v>468</v>
      </c>
      <c r="BF4" s="561"/>
      <c r="BG4" s="575" t="s">
        <v>485</v>
      </c>
      <c r="BH4" s="250" t="s">
        <v>486</v>
      </c>
      <c r="BI4" s="250" t="s">
        <v>484</v>
      </c>
      <c r="BJ4" s="250" t="s">
        <v>480</v>
      </c>
      <c r="BK4" s="250" t="s">
        <v>489</v>
      </c>
      <c r="BL4" s="250" t="s">
        <v>696</v>
      </c>
      <c r="BM4" s="250" t="s">
        <v>504</v>
      </c>
      <c r="BN4" s="575" t="s">
        <v>487</v>
      </c>
      <c r="BO4" s="250" t="s">
        <v>488</v>
      </c>
      <c r="BP4" s="250" t="s">
        <v>496</v>
      </c>
      <c r="BQ4" s="250" t="s">
        <v>500</v>
      </c>
      <c r="BR4" s="575" t="s">
        <v>469</v>
      </c>
      <c r="BS4" s="250" t="s">
        <v>470</v>
      </c>
      <c r="BT4" s="250" t="s">
        <v>479</v>
      </c>
      <c r="BU4" s="250" t="s">
        <v>694</v>
      </c>
      <c r="BV4" s="250" t="s">
        <v>497</v>
      </c>
      <c r="BW4" s="250" t="s">
        <v>695</v>
      </c>
      <c r="BX4" s="575" t="s">
        <v>495</v>
      </c>
      <c r="BY4" s="250" t="s">
        <v>224</v>
      </c>
      <c r="BZ4" s="250" t="s">
        <v>47</v>
      </c>
      <c r="CA4" s="250" t="s">
        <v>498</v>
      </c>
      <c r="CB4" s="250"/>
      <c r="CD4" s="588" t="s">
        <v>691</v>
      </c>
      <c r="CE4" s="588" t="s">
        <v>692</v>
      </c>
    </row>
    <row r="5" spans="2:83" x14ac:dyDescent="0.2">
      <c r="E5" s="175">
        <v>0.1</v>
      </c>
      <c r="F5" s="222">
        <v>1.0000000000000001E-9</v>
      </c>
      <c r="G5" s="222"/>
      <c r="H5" s="222">
        <f t="shared" ref="H5:H36" si="0">F5*Vout</f>
        <v>1.2000000000000002E-8</v>
      </c>
      <c r="I5" s="558">
        <f t="shared" ref="I5:I36" si="1">Vin</f>
        <v>24</v>
      </c>
      <c r="J5" s="177">
        <f t="shared" ref="J5:J36" si="2">(T5+Vfwd1)*Nps</f>
        <v>24.5</v>
      </c>
      <c r="K5" s="453">
        <f t="shared" ref="K5:K36" si="3">(Vout+Vfwd1)*Nps+I5</f>
        <v>48.5</v>
      </c>
      <c r="L5" s="453"/>
      <c r="M5" s="222">
        <f t="shared" ref="M5:M36" si="4">(Vout+Vfwd1)*Nps/((Vout+Vfwd1)*Nps+I5)</f>
        <v>0.50515463917525771</v>
      </c>
      <c r="N5" s="177">
        <f t="shared" ref="N5:N68" si="5">M5*I5*Isw_max*0.5*Efficiency</f>
        <v>8.3502061855670089</v>
      </c>
      <c r="O5" s="177">
        <f>T5*F5</f>
        <v>1.2000000000000002E-8</v>
      </c>
      <c r="P5" s="222">
        <f t="shared" ref="P5:P36" si="6">N5/Vout</f>
        <v>0.69585051546391741</v>
      </c>
      <c r="Q5" s="222">
        <f t="shared" ref="Q5:Q36" si="7">MIN(Vout,N5/F5)</f>
        <v>12</v>
      </c>
      <c r="R5" s="222">
        <f t="shared" ref="R5:R36" si="8">Isw_max/2*I5*Nps*(Q5+Vfwd1)/Q5/(I5+Nps*(Q5+Vfwd1))</f>
        <v>0.73247422680412366</v>
      </c>
      <c r="S5" s="177">
        <f t="shared" ref="S5:S36" si="9">(SQRT(Isw_max^2*Nps^2*I5^2+4*Isw_max*F5/Efficiency*(Nps^2*Vfwd1*I5-Nps*I5^2)+4*(F5/Efficiency)^2*Nps^2*Vfwd1^2+8*(F5/Efficiency)^2*Nps*Vfwd1*I5+4*(F5/Efficiency)^2*I5^2)-2*F5/Efficiency*I5-2*F5/Efficiency*Nps*Vfwd1+Isw_max*Nps*I5)/(4*F5/Efficiency*Nps)</f>
        <v>16529999987.999998</v>
      </c>
      <c r="T5" s="177">
        <f t="shared" ref="T5:T36" si="10">MIN(Vout, S5)</f>
        <v>12</v>
      </c>
      <c r="U5" s="222">
        <f t="shared" ref="U5:U36" si="11">MIN(2*Vout*F5/(Efficiency*I5*M5), Isw_max)</f>
        <v>2.0837808807733624E-9</v>
      </c>
      <c r="V5" s="222">
        <f t="shared" ref="V5:V36" si="12">L*U5/I5*1000000</f>
        <v>7.2932330827067679E-9</v>
      </c>
      <c r="W5" s="222">
        <f t="shared" ref="W5:W36" si="13">L*U5/J5*1000000</f>
        <v>7.144391591222957E-9</v>
      </c>
      <c r="X5" s="202">
        <f t="shared" ref="X5:X36" si="14">IF(1/((350000*L)*(1/I5+1/J5))&gt;Isw_min, 350, 0.001/((Isw_min*L)*(1/I5+1/J5)))</f>
        <v>350</v>
      </c>
      <c r="Y5" s="453">
        <f>MIN(1/(V5+W5)*1000, 350)</f>
        <v>350</v>
      </c>
      <c r="AA5" s="222">
        <f t="shared" ref="AA5:AA36" si="15">1/((X5*1000*L)*(1/I5+1/J5))</f>
        <v>0.41237113402061859</v>
      </c>
      <c r="AB5" s="178">
        <f t="shared" ref="AB5:AB36" si="16">L*AA5/J5*1000000</f>
        <v>1.4138438880706923</v>
      </c>
      <c r="AC5" s="178">
        <f t="shared" ref="AC5:AC36" si="17">0.5*AB5*AA5*Nps*X5/1000</f>
        <v>0.20405994260814117</v>
      </c>
      <c r="AD5" s="178"/>
      <c r="AE5" s="178">
        <f t="shared" ref="AE5:AE36" si="18">L*Isw_min/J5*1000000</f>
        <v>0.99428571428571422</v>
      </c>
      <c r="AF5" s="562">
        <f>MAX(10, F5/(0.5*AE5/1000000*Isw_min*Nps)/1000)</f>
        <v>10</v>
      </c>
      <c r="AG5" s="545">
        <f t="shared" ref="AG5:AG36" si="19">0.5*AE5/1000000*Isw_min*Nps*X5*1000</f>
        <v>0.10091999999999998</v>
      </c>
      <c r="AI5" s="178">
        <f t="shared" ref="AI5:AI36" si="20">SQRT(F5/Efficiency/(0.5*L/J5*Fsw_DCM*Nps))</f>
        <v>2.961744388795462E-5</v>
      </c>
      <c r="AJ5" s="178">
        <f t="shared" ref="AJ5:AJ36" si="21">MAX(IF(F5&gt;AC5,U5,AI5),Isw_min)</f>
        <v>0.28999999999999998</v>
      </c>
      <c r="AK5" s="178">
        <f t="shared" ref="AK5:AK36" si="22">IF(F5&gt;AG5, (AJ5-Isw_min)/1.08*0.8+1.2, AF5*0.2/350+1)</f>
        <v>1.0057142857142858</v>
      </c>
      <c r="AM5" s="562">
        <f t="shared" ref="AM5:AM36" si="23">F5*1000</f>
        <v>1.0000000000000002E-6</v>
      </c>
      <c r="AN5" s="471">
        <f t="shared" ref="AN5:AN36" si="24">IF(F5&gt;AG5, Y5, AF5)</f>
        <v>10</v>
      </c>
      <c r="AP5">
        <f t="shared" ref="AP5:AP36" si="25">IF(H5&gt;N5, "",AM5)</f>
        <v>1.0000000000000002E-6</v>
      </c>
      <c r="AQ5" s="471">
        <f t="shared" ref="AQ5:AQ36" si="26">IF(H5&gt;N5, "",AN5)</f>
        <v>10</v>
      </c>
      <c r="AR5" s="471"/>
      <c r="AS5" s="5">
        <f>1/AN5*1000</f>
        <v>100</v>
      </c>
      <c r="AT5" s="5">
        <f t="shared" ref="AT5:AT36" si="27">L*AJ5/I5*1000000</f>
        <v>1.0149999999999999</v>
      </c>
      <c r="AU5" s="5">
        <f>AS5-AT5</f>
        <v>98.984999999999999</v>
      </c>
      <c r="AV5" s="5">
        <f t="shared" ref="AV5:AV36" si="28">L*AJ5/J5*1000000</f>
        <v>0.99428571428571422</v>
      </c>
      <c r="AW5" s="178">
        <f>AT5/AS5</f>
        <v>1.0149999999999999E-2</v>
      </c>
      <c r="AX5" s="178">
        <f t="shared" ref="AX5:AX36" si="29">0.5*L*AJ5^2*AN5*1000</f>
        <v>3.5321999999999992E-2</v>
      </c>
      <c r="AY5" s="178">
        <f t="shared" ref="AY5:AY36" si="30">AJ5*Nps/2*(1-AW5)</f>
        <v>0.28705649999999999</v>
      </c>
      <c r="AZ5" s="178">
        <f>AX5/AY5</f>
        <v>0.12304894681012273</v>
      </c>
      <c r="BA5" s="471">
        <f t="shared" ref="BA5:BA36" si="31">F5*AT5/Vout_ripple*1000</f>
        <v>8.458333333333333E-9</v>
      </c>
      <c r="BB5" s="5">
        <f t="shared" ref="BB5:BB36" si="32">H5/Efficiency/I5*AU5/Vinripple1</f>
        <v>4.3414473684210526E-8</v>
      </c>
      <c r="BC5" s="5"/>
      <c r="BD5" s="178">
        <f>AJ5*SQRT(AW5/3)</f>
        <v>1.6868264087727975E-2</v>
      </c>
      <c r="BE5" s="178">
        <f t="shared" ref="BE5:BE36" si="33">AJ5*Nps*SQRT((1-AW5)/3)</f>
        <v>0.33315939128291128</v>
      </c>
      <c r="BF5" s="178"/>
      <c r="BG5" s="545">
        <f t="shared" ref="BG5:BG36" si="34">Rdson*BD5^2</f>
        <v>9.9588416666666647E-5</v>
      </c>
      <c r="BH5" s="545">
        <f t="shared" ref="BH5:BH36" si="35">0.5*K5*AJ5*AN5*1000*Trise</f>
        <v>1.0548749999999998E-3</v>
      </c>
      <c r="BI5" s="545">
        <f t="shared" ref="BI5:BI36" si="36">Qg*Vdd*AN5*1000</f>
        <v>1.25E-4</v>
      </c>
      <c r="BJ5" s="545">
        <f t="shared" ref="BJ5:BJ36" si="37">0.5*(Coss+Csw)*K5^2*AN5*1000</f>
        <v>1.1761250000000001E-3</v>
      </c>
      <c r="BK5">
        <f t="shared" ref="BK5:BK36" si="38">I5*IQ</f>
        <v>6.96E-3</v>
      </c>
      <c r="BL5" s="545">
        <f t="shared" ref="BL5:BL36" si="39">(BH5+BI5+BJ5+BK5+BG5*(1+RdsonTC*(Ta-25)))/(1-BG5*RdsonTC*ThetaJA)</f>
        <v>9.4159133352261972E-3</v>
      </c>
      <c r="BM5" s="471">
        <f>BL5*1000</f>
        <v>9.4159133352261968</v>
      </c>
      <c r="BN5" s="545">
        <f t="shared" ref="BN5:BN36" si="40">Vfwd2*F5*(1+Diode_TC/1000*(Ta-25))</f>
        <v>3E-10</v>
      </c>
      <c r="BO5" s="545"/>
      <c r="BQ5" s="471">
        <f>SUM(BN5:BP5)*1000</f>
        <v>2.9999999999999999E-7</v>
      </c>
      <c r="BR5" s="545">
        <f t="shared" ref="BR5:BR36" si="41">Rdcr_pri*BD5^2</f>
        <v>2.7031141666666664E-5</v>
      </c>
      <c r="BS5" s="545">
        <f t="shared" ref="BS5:BS36" si="42">Rdcr_sec*BE5^2</f>
        <v>9.9895661999999975E-3</v>
      </c>
      <c r="BT5" s="545">
        <f t="shared" ref="BT5:BT36" si="43">AJ5^2.5*AN5^2.5*k_core</f>
        <v>7.1608569668720578E-7</v>
      </c>
      <c r="BU5" s="545">
        <f t="shared" ref="BU5:BU36" si="44">(BT5+(BR5+BS5)*(1+Ltc*(Ta-25)))/(1-(BR5+BS5)*Ltc*ThetaCa)</f>
        <v>1.0025347016505336E-2</v>
      </c>
      <c r="BV5" s="545">
        <f t="shared" ref="BV5:BV36" si="45">0.5*Lleak*0.000000001*AJ5^2*AN5*1000</f>
        <v>1.8922500000000001E-4</v>
      </c>
      <c r="BW5" s="471">
        <f>1000*(BU5+BV5)</f>
        <v>10.214572016505334</v>
      </c>
      <c r="BX5" s="178">
        <f>SUM(BL5,BN5:BP5,BU5, BV5)</f>
        <v>1.9630485651731533E-2</v>
      </c>
      <c r="BY5" s="5">
        <f>MIN(H5,O5)</f>
        <v>1.2000000000000002E-8</v>
      </c>
      <c r="BZ5" s="178">
        <f>BY5/(BY5+BX5)</f>
        <v>6.1129372331228323E-7</v>
      </c>
      <c r="CA5" s="5">
        <f>BZ5*100</f>
        <v>6.1129372331228325E-5</v>
      </c>
      <c r="CD5" s="580">
        <f t="shared" ref="CD5:CD36" si="46">IF(ABS(F5-Ioutmax_Vinnom)&lt;Iout/200, AN5, -50)</f>
        <v>-50</v>
      </c>
      <c r="CE5">
        <f t="shared" ref="CE5:CE36" si="47">IF(ABS(F5-Ioutmax_Vinnom)&lt;Iout/200, N5*BZ5, -50)</f>
        <v>-50</v>
      </c>
    </row>
    <row r="6" spans="2:83" x14ac:dyDescent="0.2">
      <c r="E6" s="175">
        <v>1</v>
      </c>
      <c r="F6" s="222">
        <f t="shared" ref="F6:F37" si="48">IF(PLOT_TYPE=1, E6/100*Iout_max, min_I*EXP(N6*rr/100))</f>
        <v>4.0000000000000001E-3</v>
      </c>
      <c r="G6" s="222"/>
      <c r="H6" s="222">
        <f t="shared" si="0"/>
        <v>4.8000000000000001E-2</v>
      </c>
      <c r="I6" s="558">
        <f t="shared" si="1"/>
        <v>24</v>
      </c>
      <c r="J6" s="177">
        <f t="shared" si="2"/>
        <v>24.5</v>
      </c>
      <c r="K6" s="453">
        <f t="shared" si="3"/>
        <v>48.5</v>
      </c>
      <c r="L6" s="453"/>
      <c r="M6" s="222">
        <f t="shared" si="4"/>
        <v>0.50515463917525771</v>
      </c>
      <c r="N6" s="177">
        <f t="shared" si="5"/>
        <v>8.3502061855670089</v>
      </c>
      <c r="O6" s="177">
        <f t="shared" ref="O6:O69" si="49">T6*F6</f>
        <v>4.8000000000000001E-2</v>
      </c>
      <c r="P6" s="222">
        <f t="shared" si="6"/>
        <v>0.69585051546391741</v>
      </c>
      <c r="Q6" s="222">
        <f t="shared" si="7"/>
        <v>12</v>
      </c>
      <c r="R6" s="222">
        <f t="shared" si="8"/>
        <v>0.73247422680412366</v>
      </c>
      <c r="S6" s="177">
        <f t="shared" si="9"/>
        <v>4120.5007280226828</v>
      </c>
      <c r="T6" s="177">
        <f t="shared" si="10"/>
        <v>12</v>
      </c>
      <c r="U6" s="222">
        <f t="shared" si="11"/>
        <v>8.3351235230934486E-3</v>
      </c>
      <c r="V6" s="222">
        <f t="shared" si="12"/>
        <v>2.9172932330827069E-2</v>
      </c>
      <c r="W6" s="222">
        <f t="shared" si="13"/>
        <v>2.857756636489182E-2</v>
      </c>
      <c r="X6" s="202">
        <f t="shared" si="14"/>
        <v>350</v>
      </c>
      <c r="Y6" s="453">
        <f t="shared" ref="Y6:Y69" si="50">MIN(1/(V6+W6)*1000, 350)</f>
        <v>350</v>
      </c>
      <c r="AA6" s="222">
        <f t="shared" si="15"/>
        <v>0.41237113402061859</v>
      </c>
      <c r="AB6" s="178">
        <f t="shared" si="16"/>
        <v>1.4138438880706923</v>
      </c>
      <c r="AC6" s="178">
        <f t="shared" si="17"/>
        <v>0.20405994260814117</v>
      </c>
      <c r="AD6" s="178"/>
      <c r="AE6" s="178">
        <f t="shared" si="18"/>
        <v>0.99428571428571422</v>
      </c>
      <c r="AF6" s="562">
        <f>MAX(10, F6/(0.5*AE6/1000000*Isw_min*Nps)/1000)</f>
        <v>13.872374157748716</v>
      </c>
      <c r="AG6" s="545">
        <f t="shared" si="19"/>
        <v>0.10091999999999998</v>
      </c>
      <c r="AI6" s="178">
        <f t="shared" si="20"/>
        <v>5.923488777590924E-2</v>
      </c>
      <c r="AJ6" s="178">
        <f t="shared" si="21"/>
        <v>0.28999999999999998</v>
      </c>
      <c r="AK6" s="178">
        <f t="shared" si="22"/>
        <v>1.007927070947285</v>
      </c>
      <c r="AM6" s="562">
        <f t="shared" si="23"/>
        <v>4</v>
      </c>
      <c r="AN6" s="471">
        <f t="shared" si="24"/>
        <v>13.872374157748716</v>
      </c>
      <c r="AP6">
        <f t="shared" si="25"/>
        <v>4</v>
      </c>
      <c r="AQ6" s="471">
        <f t="shared" si="26"/>
        <v>13.872374157748716</v>
      </c>
      <c r="AR6" s="471"/>
      <c r="AS6" s="5">
        <f t="shared" ref="AS6:AS69" si="51">1/AN6*1000</f>
        <v>72.085714285714261</v>
      </c>
      <c r="AT6" s="5">
        <f t="shared" si="27"/>
        <v>1.0149999999999999</v>
      </c>
      <c r="AU6" s="5">
        <f t="shared" ref="AU6:AU69" si="52">AS6-AT6</f>
        <v>71.07071428571426</v>
      </c>
      <c r="AV6" s="5">
        <f t="shared" si="28"/>
        <v>0.99428571428571422</v>
      </c>
      <c r="AW6" s="178">
        <f t="shared" ref="AW6:AW69" si="53">AT6/AS6</f>
        <v>1.4080459770114946E-2</v>
      </c>
      <c r="AX6" s="178">
        <f t="shared" si="29"/>
        <v>4.9000000000000002E-2</v>
      </c>
      <c r="AY6" s="178">
        <f t="shared" si="30"/>
        <v>0.28591666666666665</v>
      </c>
      <c r="AZ6" s="178">
        <f t="shared" ref="AZ6:AZ69" si="54">AX6/AY6</f>
        <v>0.17137860682016906</v>
      </c>
      <c r="BA6" s="471">
        <f t="shared" si="31"/>
        <v>3.3833333333333326E-2</v>
      </c>
      <c r="BB6" s="5">
        <f t="shared" si="32"/>
        <v>0.12468546365914782</v>
      </c>
      <c r="BC6" s="5"/>
      <c r="BD6" s="178">
        <f t="shared" ref="BD6:BD69" si="55">AJ6*SQRT(AW6/3)</f>
        <v>1.9867617426914137E-2</v>
      </c>
      <c r="BE6" s="178">
        <f t="shared" si="33"/>
        <v>0.33249728486777813</v>
      </c>
      <c r="BF6" s="178"/>
      <c r="BG6" s="545">
        <f t="shared" si="34"/>
        <v>1.3815277777777779E-4</v>
      </c>
      <c r="BH6" s="545">
        <f t="shared" si="35"/>
        <v>1.4633620689655177E-3</v>
      </c>
      <c r="BI6" s="545">
        <f t="shared" si="36"/>
        <v>1.7340467697185894E-4</v>
      </c>
      <c r="BJ6" s="545">
        <f t="shared" si="37"/>
        <v>1.631564605628221E-3</v>
      </c>
      <c r="BK6">
        <f t="shared" si="38"/>
        <v>6.96E-3</v>
      </c>
      <c r="BL6" s="545">
        <f t="shared" si="39"/>
        <v>1.0366980396046997E-2</v>
      </c>
      <c r="BM6" s="471">
        <f t="shared" ref="BM6:BM69" si="56">BL6*1000</f>
        <v>10.366980396046998</v>
      </c>
      <c r="BN6" s="545">
        <f t="shared" si="40"/>
        <v>1.1999999999999999E-3</v>
      </c>
      <c r="BO6" s="545"/>
      <c r="BQ6" s="471">
        <f t="shared" ref="BQ6:BQ69" si="57">SUM(BN6:BP6)*1000</f>
        <v>1.2</v>
      </c>
      <c r="BR6" s="545">
        <f t="shared" si="41"/>
        <v>3.7498611111111123E-5</v>
      </c>
      <c r="BS6" s="545">
        <f t="shared" si="42"/>
        <v>9.9498999999999959E-3</v>
      </c>
      <c r="BT6" s="545">
        <f t="shared" si="43"/>
        <v>1.6230876889781498E-6</v>
      </c>
      <c r="BU6" s="545">
        <f t="shared" si="44"/>
        <v>9.9970092280864745E-3</v>
      </c>
      <c r="BV6" s="545">
        <f t="shared" si="45"/>
        <v>2.6250000000000009E-4</v>
      </c>
      <c r="BW6" s="471">
        <f t="shared" ref="BW6:BW69" si="58">1000*(BU6+BV6)</f>
        <v>10.259509228086475</v>
      </c>
      <c r="BX6" s="178">
        <f t="shared" ref="BX6:BX69" si="59">SUM(BL6,BN6:BP6,BU6, BV6)</f>
        <v>2.1826489624133472E-2</v>
      </c>
      <c r="BY6" s="5">
        <f t="shared" ref="BY6:BY69" si="60">MIN(H6,O6)</f>
        <v>4.8000000000000001E-2</v>
      </c>
      <c r="BZ6" s="178">
        <f t="shared" ref="BZ6:BZ69" si="61">BY6/(BY6+BX6)</f>
        <v>0.68741820272474663</v>
      </c>
      <c r="CA6" s="5">
        <f t="shared" ref="CA6:CA69" si="62">BZ6*100</f>
        <v>68.741820272474669</v>
      </c>
      <c r="CD6" s="580">
        <f t="shared" si="46"/>
        <v>-50</v>
      </c>
      <c r="CE6">
        <f t="shared" si="47"/>
        <v>-50</v>
      </c>
    </row>
    <row r="7" spans="2:83" x14ac:dyDescent="0.2">
      <c r="E7" s="175">
        <v>2</v>
      </c>
      <c r="F7" s="222">
        <f t="shared" si="48"/>
        <v>8.0000000000000002E-3</v>
      </c>
      <c r="G7" s="222"/>
      <c r="H7" s="222">
        <f t="shared" si="0"/>
        <v>9.6000000000000002E-2</v>
      </c>
      <c r="I7" s="558">
        <f t="shared" si="1"/>
        <v>24</v>
      </c>
      <c r="J7" s="177">
        <f t="shared" si="2"/>
        <v>24.5</v>
      </c>
      <c r="K7" s="453">
        <f t="shared" si="3"/>
        <v>48.5</v>
      </c>
      <c r="L7" s="453"/>
      <c r="M7" s="222">
        <f t="shared" si="4"/>
        <v>0.50515463917525771</v>
      </c>
      <c r="N7" s="177">
        <f t="shared" si="5"/>
        <v>8.3502061855670089</v>
      </c>
      <c r="O7" s="177">
        <f t="shared" si="49"/>
        <v>9.6000000000000002E-2</v>
      </c>
      <c r="P7" s="222">
        <f t="shared" si="6"/>
        <v>0.69585051546391741</v>
      </c>
      <c r="Q7" s="222">
        <f t="shared" si="7"/>
        <v>12</v>
      </c>
      <c r="R7" s="222">
        <f t="shared" si="8"/>
        <v>0.73247422680412366</v>
      </c>
      <c r="S7" s="177">
        <f t="shared" si="9"/>
        <v>2054.2514602082588</v>
      </c>
      <c r="T7" s="177">
        <f t="shared" si="10"/>
        <v>12</v>
      </c>
      <c r="U7" s="222">
        <f t="shared" si="11"/>
        <v>1.6670247046186897E-2</v>
      </c>
      <c r="V7" s="222">
        <f t="shared" si="12"/>
        <v>5.8345864661654138E-2</v>
      </c>
      <c r="W7" s="222">
        <f t="shared" si="13"/>
        <v>5.7155132729783641E-2</v>
      </c>
      <c r="X7" s="202">
        <f t="shared" si="14"/>
        <v>350</v>
      </c>
      <c r="Y7" s="453">
        <f t="shared" si="50"/>
        <v>350</v>
      </c>
      <c r="AA7" s="222">
        <f t="shared" si="15"/>
        <v>0.41237113402061859</v>
      </c>
      <c r="AB7" s="178">
        <f t="shared" si="16"/>
        <v>1.4138438880706923</v>
      </c>
      <c r="AC7" s="178">
        <f t="shared" si="17"/>
        <v>0.20405994260814117</v>
      </c>
      <c r="AD7" s="178"/>
      <c r="AE7" s="178">
        <f t="shared" si="18"/>
        <v>0.99428571428571422</v>
      </c>
      <c r="AF7" s="562">
        <f>MAX(10, F7/(0.5*AE7/1000000*Isw_min*Nps)/1000)</f>
        <v>27.744748315497432</v>
      </c>
      <c r="AG7" s="545">
        <f t="shared" si="19"/>
        <v>0.10091999999999998</v>
      </c>
      <c r="AI7" s="178">
        <f t="shared" si="20"/>
        <v>8.3770781658339108E-2</v>
      </c>
      <c r="AJ7" s="178">
        <f t="shared" si="21"/>
        <v>0.28999999999999998</v>
      </c>
      <c r="AK7" s="178">
        <f t="shared" si="22"/>
        <v>1.0158541418945699</v>
      </c>
      <c r="AM7" s="562">
        <f t="shared" si="23"/>
        <v>8</v>
      </c>
      <c r="AN7" s="471">
        <f t="shared" si="24"/>
        <v>27.744748315497432</v>
      </c>
      <c r="AP7">
        <f t="shared" si="25"/>
        <v>8</v>
      </c>
      <c r="AQ7" s="471">
        <f t="shared" si="26"/>
        <v>27.744748315497432</v>
      </c>
      <c r="AR7" s="471"/>
      <c r="AS7" s="5">
        <f t="shared" si="51"/>
        <v>36.04285714285713</v>
      </c>
      <c r="AT7" s="5">
        <f t="shared" si="27"/>
        <v>1.0149999999999999</v>
      </c>
      <c r="AU7" s="5">
        <f t="shared" si="52"/>
        <v>35.02785714285713</v>
      </c>
      <c r="AV7" s="5">
        <f t="shared" si="28"/>
        <v>0.99428571428571422</v>
      </c>
      <c r="AW7" s="178">
        <f t="shared" si="53"/>
        <v>2.8160919540229892E-2</v>
      </c>
      <c r="AX7" s="178">
        <f t="shared" si="29"/>
        <v>9.8000000000000004E-2</v>
      </c>
      <c r="AY7" s="178">
        <f t="shared" si="30"/>
        <v>0.28183333333333332</v>
      </c>
      <c r="AZ7" s="178">
        <f t="shared" si="54"/>
        <v>0.34772324068598465</v>
      </c>
      <c r="BA7" s="471">
        <f t="shared" si="31"/>
        <v>6.7666666666666653E-2</v>
      </c>
      <c r="BB7" s="5">
        <f t="shared" si="32"/>
        <v>0.12290476190476185</v>
      </c>
      <c r="BC7" s="5"/>
      <c r="BD7" s="178">
        <f t="shared" si="55"/>
        <v>2.8097054017182023E-2</v>
      </c>
      <c r="BE7" s="178">
        <f t="shared" si="33"/>
        <v>0.33011445826494107</v>
      </c>
      <c r="BF7" s="178"/>
      <c r="BG7" s="545">
        <f t="shared" si="34"/>
        <v>2.7630555555555557E-4</v>
      </c>
      <c r="BH7" s="545">
        <f t="shared" si="35"/>
        <v>2.9267241379310354E-3</v>
      </c>
      <c r="BI7" s="545">
        <f t="shared" si="36"/>
        <v>3.4680935394371787E-4</v>
      </c>
      <c r="BJ7" s="545">
        <f t="shared" si="37"/>
        <v>3.2631292112564421E-3</v>
      </c>
      <c r="BK7">
        <f t="shared" si="38"/>
        <v>6.96E-3</v>
      </c>
      <c r="BL7" s="545">
        <f t="shared" si="39"/>
        <v>1.3774287007203035E-2</v>
      </c>
      <c r="BM7" s="471">
        <f t="shared" si="56"/>
        <v>13.774287007203034</v>
      </c>
      <c r="BN7" s="545">
        <f t="shared" si="40"/>
        <v>2.3999999999999998E-3</v>
      </c>
      <c r="BO7" s="545"/>
      <c r="BQ7" s="471">
        <f t="shared" si="57"/>
        <v>2.4</v>
      </c>
      <c r="BR7" s="545">
        <f t="shared" si="41"/>
        <v>7.4997222222222232E-5</v>
      </c>
      <c r="BS7" s="545">
        <f t="shared" si="42"/>
        <v>9.8077999999999967E-3</v>
      </c>
      <c r="BT7" s="545">
        <f t="shared" si="43"/>
        <v>9.1815704906948158E-6</v>
      </c>
      <c r="BU7" s="545">
        <f t="shared" si="44"/>
        <v>9.8998058145853083E-3</v>
      </c>
      <c r="BV7" s="545">
        <f t="shared" si="45"/>
        <v>5.2500000000000018E-4</v>
      </c>
      <c r="BW7" s="471">
        <f t="shared" si="58"/>
        <v>10.424805814585307</v>
      </c>
      <c r="BX7" s="178">
        <f t="shared" si="59"/>
        <v>2.6599092821788347E-2</v>
      </c>
      <c r="BY7" s="5">
        <f t="shared" si="60"/>
        <v>9.6000000000000002E-2</v>
      </c>
      <c r="BZ7" s="178">
        <f t="shared" si="61"/>
        <v>0.78304005185052106</v>
      </c>
      <c r="CA7" s="5">
        <f t="shared" si="62"/>
        <v>78.304005185052105</v>
      </c>
      <c r="CD7" s="580">
        <f t="shared" si="46"/>
        <v>-50</v>
      </c>
      <c r="CE7">
        <f t="shared" si="47"/>
        <v>-50</v>
      </c>
    </row>
    <row r="8" spans="2:83" x14ac:dyDescent="0.2">
      <c r="E8" s="175">
        <v>3</v>
      </c>
      <c r="F8" s="222">
        <f t="shared" si="48"/>
        <v>1.2E-2</v>
      </c>
      <c r="G8" s="222"/>
      <c r="H8" s="222">
        <f t="shared" si="0"/>
        <v>0.14400000000000002</v>
      </c>
      <c r="I8" s="558">
        <f t="shared" si="1"/>
        <v>24</v>
      </c>
      <c r="J8" s="177">
        <f t="shared" si="2"/>
        <v>24.5</v>
      </c>
      <c r="K8" s="453">
        <f t="shared" si="3"/>
        <v>48.5</v>
      </c>
      <c r="L8" s="453"/>
      <c r="M8" s="222">
        <f t="shared" si="4"/>
        <v>0.50515463917525771</v>
      </c>
      <c r="N8" s="177">
        <f t="shared" si="5"/>
        <v>8.3502061855670089</v>
      </c>
      <c r="O8" s="177">
        <f t="shared" si="49"/>
        <v>0.14400000000000002</v>
      </c>
      <c r="P8" s="222">
        <f t="shared" si="6"/>
        <v>0.69585051546391741</v>
      </c>
      <c r="Q8" s="222">
        <f t="shared" si="7"/>
        <v>12</v>
      </c>
      <c r="R8" s="222">
        <f t="shared" si="8"/>
        <v>0.73247422680412366</v>
      </c>
      <c r="S8" s="177">
        <f t="shared" si="9"/>
        <v>1365.5021965917442</v>
      </c>
      <c r="T8" s="177">
        <f t="shared" si="10"/>
        <v>12</v>
      </c>
      <c r="U8" s="222">
        <f t="shared" si="11"/>
        <v>2.5005370569280351E-2</v>
      </c>
      <c r="V8" s="222">
        <f t="shared" si="12"/>
        <v>8.7518796992481218E-2</v>
      </c>
      <c r="W8" s="222">
        <f t="shared" si="13"/>
        <v>8.5732699094675471E-2</v>
      </c>
      <c r="X8" s="202">
        <f t="shared" si="14"/>
        <v>350</v>
      </c>
      <c r="Y8" s="453">
        <f t="shared" si="50"/>
        <v>350</v>
      </c>
      <c r="AA8" s="222">
        <f t="shared" si="15"/>
        <v>0.41237113402061859</v>
      </c>
      <c r="AB8" s="178">
        <f t="shared" si="16"/>
        <v>1.4138438880706923</v>
      </c>
      <c r="AC8" s="178">
        <f t="shared" si="17"/>
        <v>0.20405994260814117</v>
      </c>
      <c r="AD8" s="178"/>
      <c r="AE8" s="178">
        <f t="shared" si="18"/>
        <v>0.99428571428571422</v>
      </c>
      <c r="AF8" s="562">
        <f t="shared" ref="AF8:AF39" si="63">MAX(10000,F8/(0.5*AE8/1000000*Isw_min*Nps))/1000</f>
        <v>41.617122473246148</v>
      </c>
      <c r="AG8" s="545">
        <f t="shared" si="19"/>
        <v>0.10091999999999998</v>
      </c>
      <c r="AI8" s="178">
        <f t="shared" si="20"/>
        <v>0.10259783520851541</v>
      </c>
      <c r="AJ8" s="178">
        <f t="shared" si="21"/>
        <v>0.28999999999999998</v>
      </c>
      <c r="AK8" s="178">
        <f t="shared" si="22"/>
        <v>1.0237812128418549</v>
      </c>
      <c r="AM8" s="562">
        <f t="shared" si="23"/>
        <v>12</v>
      </c>
      <c r="AN8" s="471">
        <f t="shared" si="24"/>
        <v>41.617122473246148</v>
      </c>
      <c r="AP8">
        <f t="shared" si="25"/>
        <v>12</v>
      </c>
      <c r="AQ8" s="471">
        <f t="shared" si="26"/>
        <v>41.617122473246148</v>
      </c>
      <c r="AR8" s="471"/>
      <c r="AS8" s="5">
        <f t="shared" si="51"/>
        <v>24.028571428571421</v>
      </c>
      <c r="AT8" s="5">
        <f t="shared" si="27"/>
        <v>1.0149999999999999</v>
      </c>
      <c r="AU8" s="5">
        <f t="shared" si="52"/>
        <v>23.013571428571421</v>
      </c>
      <c r="AV8" s="5">
        <f t="shared" si="28"/>
        <v>0.99428571428571422</v>
      </c>
      <c r="AW8" s="178">
        <f t="shared" si="53"/>
        <v>4.2241379310344836E-2</v>
      </c>
      <c r="AX8" s="178">
        <f t="shared" si="29"/>
        <v>0.14700000000000002</v>
      </c>
      <c r="AY8" s="178">
        <f t="shared" si="30"/>
        <v>0.27774999999999994</v>
      </c>
      <c r="AZ8" s="178">
        <f t="shared" si="54"/>
        <v>0.52925292529252943</v>
      </c>
      <c r="BA8" s="471">
        <f t="shared" si="31"/>
        <v>0.10150000000000001</v>
      </c>
      <c r="BB8" s="5">
        <f t="shared" si="32"/>
        <v>0.12112406015037591</v>
      </c>
      <c r="BC8" s="5"/>
      <c r="BD8" s="178">
        <f t="shared" si="55"/>
        <v>3.441172280875613E-2</v>
      </c>
      <c r="BE8" s="178">
        <f t="shared" si="33"/>
        <v>0.32771430647237026</v>
      </c>
      <c r="BF8" s="178"/>
      <c r="BG8" s="545">
        <f t="shared" si="34"/>
        <v>4.1445833333333341E-4</v>
      </c>
      <c r="BH8" s="545">
        <f t="shared" si="35"/>
        <v>4.3900862068965525E-3</v>
      </c>
      <c r="BI8" s="545">
        <f t="shared" si="36"/>
        <v>5.2021403091557681E-4</v>
      </c>
      <c r="BJ8" s="545">
        <f t="shared" si="37"/>
        <v>4.8946938168846627E-3</v>
      </c>
      <c r="BK8">
        <f t="shared" si="38"/>
        <v>6.96E-3</v>
      </c>
      <c r="BL8" s="545">
        <f t="shared" si="39"/>
        <v>1.7181919880322531E-2</v>
      </c>
      <c r="BM8" s="471">
        <f t="shared" si="56"/>
        <v>17.181919880322532</v>
      </c>
      <c r="BN8" s="545">
        <f t="shared" si="40"/>
        <v>3.5999999999999999E-3</v>
      </c>
      <c r="BO8" s="545"/>
      <c r="BQ8" s="471">
        <f t="shared" si="57"/>
        <v>3.6</v>
      </c>
      <c r="BR8" s="545">
        <f t="shared" si="41"/>
        <v>1.1249583333333335E-4</v>
      </c>
      <c r="BS8" s="545">
        <f t="shared" si="42"/>
        <v>9.6656999999999958E-3</v>
      </c>
      <c r="BT8" s="545">
        <f t="shared" si="43"/>
        <v>2.5301433082047374E-5</v>
      </c>
      <c r="BU8" s="545">
        <f t="shared" si="44"/>
        <v>9.8111721113961596E-3</v>
      </c>
      <c r="BV8" s="545">
        <f t="shared" si="45"/>
        <v>7.8750000000000022E-4</v>
      </c>
      <c r="BW8" s="471">
        <f t="shared" si="58"/>
        <v>10.59867211139616</v>
      </c>
      <c r="BX8" s="178">
        <f t="shared" si="59"/>
        <v>3.1380591991718693E-2</v>
      </c>
      <c r="BY8" s="5">
        <f t="shared" si="60"/>
        <v>0.14400000000000002</v>
      </c>
      <c r="BZ8" s="178">
        <f t="shared" si="61"/>
        <v>0.82107146728527147</v>
      </c>
      <c r="CA8" s="5">
        <f t="shared" si="62"/>
        <v>82.107146728527141</v>
      </c>
      <c r="CD8" s="580">
        <f t="shared" si="46"/>
        <v>-50</v>
      </c>
      <c r="CE8">
        <f t="shared" si="47"/>
        <v>-50</v>
      </c>
    </row>
    <row r="9" spans="2:83" x14ac:dyDescent="0.2">
      <c r="E9" s="175">
        <v>4</v>
      </c>
      <c r="F9" s="222">
        <f t="shared" si="48"/>
        <v>1.6E-2</v>
      </c>
      <c r="G9" s="222"/>
      <c r="H9" s="222">
        <f t="shared" si="0"/>
        <v>0.192</v>
      </c>
      <c r="I9" s="558">
        <f t="shared" si="1"/>
        <v>24</v>
      </c>
      <c r="J9" s="177">
        <f t="shared" si="2"/>
        <v>24.5</v>
      </c>
      <c r="K9" s="453">
        <f t="shared" si="3"/>
        <v>48.5</v>
      </c>
      <c r="L9" s="453"/>
      <c r="M9" s="222">
        <f t="shared" si="4"/>
        <v>0.50515463917525771</v>
      </c>
      <c r="N9" s="177">
        <f t="shared" si="5"/>
        <v>8.3502061855670089</v>
      </c>
      <c r="O9" s="177">
        <f t="shared" si="49"/>
        <v>0.192</v>
      </c>
      <c r="P9" s="222">
        <f t="shared" si="6"/>
        <v>0.69585051546391741</v>
      </c>
      <c r="Q9" s="222">
        <f t="shared" si="7"/>
        <v>12</v>
      </c>
      <c r="R9" s="222">
        <f t="shared" si="8"/>
        <v>0.73247422680412366</v>
      </c>
      <c r="S9" s="177">
        <f t="shared" si="9"/>
        <v>1021.1279372085403</v>
      </c>
      <c r="T9" s="177">
        <f t="shared" si="10"/>
        <v>12</v>
      </c>
      <c r="U9" s="222">
        <f t="shared" si="11"/>
        <v>3.3340494092373794E-2</v>
      </c>
      <c r="V9" s="222">
        <f t="shared" si="12"/>
        <v>0.11669172932330828</v>
      </c>
      <c r="W9" s="222">
        <f t="shared" si="13"/>
        <v>0.11431026545956728</v>
      </c>
      <c r="X9" s="202">
        <f t="shared" si="14"/>
        <v>350</v>
      </c>
      <c r="Y9" s="453">
        <f t="shared" si="50"/>
        <v>350</v>
      </c>
      <c r="AA9" s="222">
        <f t="shared" si="15"/>
        <v>0.41237113402061859</v>
      </c>
      <c r="AB9" s="178">
        <f t="shared" si="16"/>
        <v>1.4138438880706923</v>
      </c>
      <c r="AC9" s="178">
        <f t="shared" si="17"/>
        <v>0.20405994260814117</v>
      </c>
      <c r="AD9" s="178"/>
      <c r="AE9" s="178">
        <f t="shared" si="18"/>
        <v>0.99428571428571422</v>
      </c>
      <c r="AF9" s="562">
        <f t="shared" si="63"/>
        <v>55.489496630994864</v>
      </c>
      <c r="AG9" s="545">
        <f t="shared" si="19"/>
        <v>0.10091999999999998</v>
      </c>
      <c r="AI9" s="178">
        <f t="shared" si="20"/>
        <v>0.11846977555181848</v>
      </c>
      <c r="AJ9" s="178">
        <f t="shared" si="21"/>
        <v>0.28999999999999998</v>
      </c>
      <c r="AK9" s="178">
        <f t="shared" si="22"/>
        <v>1.0317082837891398</v>
      </c>
      <c r="AM9" s="562">
        <f t="shared" si="23"/>
        <v>16</v>
      </c>
      <c r="AN9" s="471">
        <f t="shared" si="24"/>
        <v>55.489496630994864</v>
      </c>
      <c r="AP9">
        <f t="shared" si="25"/>
        <v>16</v>
      </c>
      <c r="AQ9" s="471">
        <f t="shared" si="26"/>
        <v>55.489496630994864</v>
      </c>
      <c r="AR9" s="471"/>
      <c r="AS9" s="5">
        <f t="shared" si="51"/>
        <v>18.021428571428565</v>
      </c>
      <c r="AT9" s="5">
        <f t="shared" si="27"/>
        <v>1.0149999999999999</v>
      </c>
      <c r="AU9" s="5">
        <f t="shared" si="52"/>
        <v>17.006428571428565</v>
      </c>
      <c r="AV9" s="5">
        <f t="shared" si="28"/>
        <v>0.99428571428571422</v>
      </c>
      <c r="AW9" s="178">
        <f t="shared" si="53"/>
        <v>5.6321839080459783E-2</v>
      </c>
      <c r="AX9" s="178">
        <f t="shared" si="29"/>
        <v>0.19600000000000001</v>
      </c>
      <c r="AY9" s="178">
        <f t="shared" si="30"/>
        <v>0.27366666666666667</v>
      </c>
      <c r="AZ9" s="178">
        <f t="shared" si="54"/>
        <v>0.71619975639464073</v>
      </c>
      <c r="BA9" s="471">
        <f t="shared" si="31"/>
        <v>0.13533333333333331</v>
      </c>
      <c r="BB9" s="5">
        <f t="shared" si="32"/>
        <v>0.11934335839598992</v>
      </c>
      <c r="BC9" s="5"/>
      <c r="BD9" s="178">
        <f t="shared" si="55"/>
        <v>3.9735234853828273E-2</v>
      </c>
      <c r="BE9" s="178">
        <f t="shared" si="33"/>
        <v>0.32529644599622937</v>
      </c>
      <c r="BF9" s="178"/>
      <c r="BG9" s="545">
        <f t="shared" si="34"/>
        <v>5.5261111111111114E-4</v>
      </c>
      <c r="BH9" s="545">
        <f t="shared" si="35"/>
        <v>5.8534482758620708E-3</v>
      </c>
      <c r="BI9" s="545">
        <f t="shared" si="36"/>
        <v>6.9361870788743575E-4</v>
      </c>
      <c r="BJ9" s="545">
        <f t="shared" si="37"/>
        <v>6.5262584225128841E-3</v>
      </c>
      <c r="BK9">
        <f t="shared" si="38"/>
        <v>6.96E-3</v>
      </c>
      <c r="BL9" s="545">
        <f t="shared" si="39"/>
        <v>2.0589879062268876E-2</v>
      </c>
      <c r="BM9" s="471">
        <f t="shared" si="56"/>
        <v>20.589879062268874</v>
      </c>
      <c r="BN9" s="545">
        <f t="shared" si="40"/>
        <v>4.7999999999999996E-3</v>
      </c>
      <c r="BO9" s="545"/>
      <c r="BQ9" s="471">
        <f t="shared" si="57"/>
        <v>4.8</v>
      </c>
      <c r="BR9" s="545">
        <f t="shared" si="41"/>
        <v>1.4999444444444449E-4</v>
      </c>
      <c r="BS9" s="545">
        <f t="shared" si="42"/>
        <v>9.5236000000000001E-3</v>
      </c>
      <c r="BT9" s="545">
        <f t="shared" si="43"/>
        <v>5.1938806047300876E-5</v>
      </c>
      <c r="BU9" s="545">
        <f t="shared" si="44"/>
        <v>9.7330655487973677E-3</v>
      </c>
      <c r="BV9" s="545">
        <f t="shared" si="45"/>
        <v>1.0500000000000004E-3</v>
      </c>
      <c r="BW9" s="471">
        <f t="shared" si="58"/>
        <v>10.783065548797369</v>
      </c>
      <c r="BX9" s="178">
        <f t="shared" si="59"/>
        <v>3.6172944611066245E-2</v>
      </c>
      <c r="BY9" s="5">
        <f t="shared" si="60"/>
        <v>0.192</v>
      </c>
      <c r="BZ9" s="178">
        <f t="shared" si="61"/>
        <v>0.84146698604987946</v>
      </c>
      <c r="CA9" s="5">
        <f t="shared" si="62"/>
        <v>84.146698604987947</v>
      </c>
      <c r="CD9" s="580">
        <f t="shared" si="46"/>
        <v>-50</v>
      </c>
      <c r="CE9">
        <f t="shared" si="47"/>
        <v>-50</v>
      </c>
    </row>
    <row r="10" spans="2:83" x14ac:dyDescent="0.2">
      <c r="E10" s="175">
        <v>5</v>
      </c>
      <c r="F10" s="222">
        <f t="shared" si="48"/>
        <v>2.0000000000000004E-2</v>
      </c>
      <c r="G10" s="222"/>
      <c r="H10" s="222">
        <f t="shared" si="0"/>
        <v>0.24000000000000005</v>
      </c>
      <c r="I10" s="558">
        <f t="shared" si="1"/>
        <v>24</v>
      </c>
      <c r="J10" s="177">
        <f t="shared" si="2"/>
        <v>24.5</v>
      </c>
      <c r="K10" s="453">
        <f t="shared" si="3"/>
        <v>48.5</v>
      </c>
      <c r="L10" s="453"/>
      <c r="M10" s="222">
        <f t="shared" si="4"/>
        <v>0.50515463917525771</v>
      </c>
      <c r="N10" s="177">
        <f t="shared" si="5"/>
        <v>8.3502061855670089</v>
      </c>
      <c r="O10" s="177">
        <f t="shared" si="49"/>
        <v>0.24000000000000005</v>
      </c>
      <c r="P10" s="222">
        <f t="shared" si="6"/>
        <v>0.69585051546391741</v>
      </c>
      <c r="Q10" s="222">
        <f t="shared" si="7"/>
        <v>12</v>
      </c>
      <c r="R10" s="222">
        <f t="shared" si="8"/>
        <v>0.73247422680412366</v>
      </c>
      <c r="S10" s="177">
        <f t="shared" si="9"/>
        <v>814.50368209443627</v>
      </c>
      <c r="T10" s="177">
        <f t="shared" si="10"/>
        <v>12</v>
      </c>
      <c r="U10" s="222">
        <f t="shared" si="11"/>
        <v>4.1675617615467252E-2</v>
      </c>
      <c r="V10" s="222">
        <f t="shared" si="12"/>
        <v>0.14586466165413539</v>
      </c>
      <c r="W10" s="222">
        <f t="shared" si="13"/>
        <v>0.14288783182445913</v>
      </c>
      <c r="X10" s="202">
        <f t="shared" si="14"/>
        <v>350</v>
      </c>
      <c r="Y10" s="453">
        <f t="shared" si="50"/>
        <v>350</v>
      </c>
      <c r="AA10" s="222">
        <f t="shared" si="15"/>
        <v>0.41237113402061859</v>
      </c>
      <c r="AB10" s="178">
        <f t="shared" si="16"/>
        <v>1.4138438880706923</v>
      </c>
      <c r="AC10" s="178">
        <f t="shared" si="17"/>
        <v>0.20405994260814117</v>
      </c>
      <c r="AD10" s="178"/>
      <c r="AE10" s="178">
        <f t="shared" si="18"/>
        <v>0.99428571428571422</v>
      </c>
      <c r="AF10" s="562">
        <f t="shared" si="63"/>
        <v>69.361870788743587</v>
      </c>
      <c r="AG10" s="545">
        <f t="shared" si="19"/>
        <v>0.10091999999999998</v>
      </c>
      <c r="AI10" s="178">
        <f t="shared" si="20"/>
        <v>0.13245323570650441</v>
      </c>
      <c r="AJ10" s="178">
        <f t="shared" si="21"/>
        <v>0.28999999999999998</v>
      </c>
      <c r="AK10" s="178">
        <f t="shared" si="22"/>
        <v>1.039635354736425</v>
      </c>
      <c r="AM10" s="562">
        <f t="shared" si="23"/>
        <v>20.000000000000004</v>
      </c>
      <c r="AN10" s="471">
        <f t="shared" si="24"/>
        <v>69.361870788743587</v>
      </c>
      <c r="AP10">
        <f t="shared" si="25"/>
        <v>20.000000000000004</v>
      </c>
      <c r="AQ10" s="471">
        <f t="shared" si="26"/>
        <v>69.361870788743587</v>
      </c>
      <c r="AR10" s="471"/>
      <c r="AS10" s="5">
        <f t="shared" si="51"/>
        <v>14.417142857142851</v>
      </c>
      <c r="AT10" s="5">
        <f t="shared" si="27"/>
        <v>1.0149999999999999</v>
      </c>
      <c r="AU10" s="5">
        <f t="shared" si="52"/>
        <v>13.40214285714285</v>
      </c>
      <c r="AV10" s="5">
        <f t="shared" si="28"/>
        <v>0.99428571428571422</v>
      </c>
      <c r="AW10" s="178">
        <f t="shared" si="53"/>
        <v>7.0402298850574738E-2</v>
      </c>
      <c r="AX10" s="178">
        <f t="shared" si="29"/>
        <v>0.24500000000000005</v>
      </c>
      <c r="AY10" s="178">
        <f t="shared" si="30"/>
        <v>0.26958333333333334</v>
      </c>
      <c r="AZ10" s="178">
        <f t="shared" si="54"/>
        <v>0.90880989180834637</v>
      </c>
      <c r="BA10" s="471">
        <f t="shared" si="31"/>
        <v>0.16916666666666669</v>
      </c>
      <c r="BB10" s="5">
        <f t="shared" si="32"/>
        <v>0.11756265664160398</v>
      </c>
      <c r="BC10" s="5"/>
      <c r="BD10" s="178">
        <f t="shared" si="55"/>
        <v>4.442534311753947E-2</v>
      </c>
      <c r="BE10" s="178">
        <f t="shared" si="33"/>
        <v>0.32286047898262316</v>
      </c>
      <c r="BF10" s="178"/>
      <c r="BG10" s="545">
        <f t="shared" si="34"/>
        <v>6.9076388888888909E-4</v>
      </c>
      <c r="BH10" s="545">
        <f t="shared" si="35"/>
        <v>7.3168103448275883E-3</v>
      </c>
      <c r="BI10" s="545">
        <f t="shared" si="36"/>
        <v>8.6702338485929479E-4</v>
      </c>
      <c r="BJ10" s="545">
        <f t="shared" si="37"/>
        <v>8.1578230281411056E-3</v>
      </c>
      <c r="BK10">
        <f t="shared" si="38"/>
        <v>6.96E-3</v>
      </c>
      <c r="BL10" s="545">
        <f t="shared" si="39"/>
        <v>2.3998164599914443E-2</v>
      </c>
      <c r="BM10" s="471">
        <f t="shared" si="56"/>
        <v>23.998164599914443</v>
      </c>
      <c r="BN10" s="545">
        <f t="shared" si="40"/>
        <v>6.000000000000001E-3</v>
      </c>
      <c r="BO10" s="545"/>
      <c r="BQ10" s="471">
        <f t="shared" si="57"/>
        <v>6.0000000000000009</v>
      </c>
      <c r="BR10" s="545">
        <f t="shared" si="41"/>
        <v>1.8749305555555563E-4</v>
      </c>
      <c r="BS10" s="545">
        <f t="shared" si="42"/>
        <v>9.3814999999999957E-3</v>
      </c>
      <c r="BT10" s="545">
        <f t="shared" si="43"/>
        <v>9.0733360149954551E-5</v>
      </c>
      <c r="BU10" s="545">
        <f t="shared" si="44"/>
        <v>9.6671267892345751E-3</v>
      </c>
      <c r="BV10" s="545">
        <f t="shared" si="45"/>
        <v>1.3125000000000005E-3</v>
      </c>
      <c r="BW10" s="471">
        <f t="shared" si="58"/>
        <v>10.979626789234576</v>
      </c>
      <c r="BX10" s="178">
        <f t="shared" si="59"/>
        <v>4.0977791389149025E-2</v>
      </c>
      <c r="BY10" s="5">
        <f t="shared" si="60"/>
        <v>0.24000000000000005</v>
      </c>
      <c r="BZ10" s="178">
        <f t="shared" si="61"/>
        <v>0.85416003454737266</v>
      </c>
      <c r="CA10" s="5">
        <f t="shared" si="62"/>
        <v>85.416003454737265</v>
      </c>
      <c r="CD10" s="580">
        <f t="shared" si="46"/>
        <v>-50</v>
      </c>
      <c r="CE10">
        <f t="shared" si="47"/>
        <v>-50</v>
      </c>
    </row>
    <row r="11" spans="2:83" x14ac:dyDescent="0.2">
      <c r="E11" s="175">
        <v>6</v>
      </c>
      <c r="F11" s="222">
        <f t="shared" si="48"/>
        <v>2.4E-2</v>
      </c>
      <c r="G11" s="222"/>
      <c r="H11" s="222">
        <f t="shared" si="0"/>
        <v>0.28800000000000003</v>
      </c>
      <c r="I11" s="558">
        <f t="shared" si="1"/>
        <v>24</v>
      </c>
      <c r="J11" s="177">
        <f t="shared" si="2"/>
        <v>24.5</v>
      </c>
      <c r="K11" s="453">
        <f t="shared" si="3"/>
        <v>48.5</v>
      </c>
      <c r="L11" s="453"/>
      <c r="M11" s="222">
        <f t="shared" si="4"/>
        <v>0.50515463917525771</v>
      </c>
      <c r="N11" s="177">
        <f t="shared" si="5"/>
        <v>8.3502061855670089</v>
      </c>
      <c r="O11" s="177">
        <f t="shared" si="49"/>
        <v>0.28800000000000003</v>
      </c>
      <c r="P11" s="222">
        <f t="shared" si="6"/>
        <v>0.69585051546391741</v>
      </c>
      <c r="Q11" s="222">
        <f t="shared" si="7"/>
        <v>12</v>
      </c>
      <c r="R11" s="222">
        <f t="shared" si="8"/>
        <v>0.73247422680412366</v>
      </c>
      <c r="S11" s="177">
        <f t="shared" si="9"/>
        <v>676.75443128561835</v>
      </c>
      <c r="T11" s="177">
        <f t="shared" si="10"/>
        <v>12</v>
      </c>
      <c r="U11" s="222">
        <f t="shared" si="11"/>
        <v>5.0010741138560702E-2</v>
      </c>
      <c r="V11" s="222">
        <f t="shared" si="12"/>
        <v>0.17503759398496244</v>
      </c>
      <c r="W11" s="222">
        <f t="shared" si="13"/>
        <v>0.17146539818935094</v>
      </c>
      <c r="X11" s="202">
        <f t="shared" si="14"/>
        <v>350</v>
      </c>
      <c r="Y11" s="453">
        <f t="shared" si="50"/>
        <v>350</v>
      </c>
      <c r="AA11" s="222">
        <f t="shared" si="15"/>
        <v>0.41237113402061859</v>
      </c>
      <c r="AB11" s="178">
        <f t="shared" si="16"/>
        <v>1.4138438880706923</v>
      </c>
      <c r="AC11" s="178">
        <f t="shared" si="17"/>
        <v>0.20405994260814117</v>
      </c>
      <c r="AD11" s="178"/>
      <c r="AE11" s="178">
        <f t="shared" si="18"/>
        <v>0.99428571428571422</v>
      </c>
      <c r="AF11" s="562">
        <f t="shared" si="63"/>
        <v>83.234244946492296</v>
      </c>
      <c r="AG11" s="545">
        <f t="shared" si="19"/>
        <v>0.10091999999999998</v>
      </c>
      <c r="AI11" s="178">
        <f t="shared" si="20"/>
        <v>0.14509525002200235</v>
      </c>
      <c r="AJ11" s="178">
        <f t="shared" si="21"/>
        <v>0.28999999999999998</v>
      </c>
      <c r="AK11" s="178">
        <f t="shared" si="22"/>
        <v>1.0475624256837099</v>
      </c>
      <c r="AM11" s="562">
        <f t="shared" si="23"/>
        <v>24</v>
      </c>
      <c r="AN11" s="471">
        <f t="shared" si="24"/>
        <v>83.234244946492296</v>
      </c>
      <c r="AP11">
        <f t="shared" si="25"/>
        <v>24</v>
      </c>
      <c r="AQ11" s="471">
        <f t="shared" si="26"/>
        <v>83.234244946492296</v>
      </c>
      <c r="AR11" s="471"/>
      <c r="AS11" s="5">
        <f t="shared" si="51"/>
        <v>12.014285714285711</v>
      </c>
      <c r="AT11" s="5">
        <f t="shared" si="27"/>
        <v>1.0149999999999999</v>
      </c>
      <c r="AU11" s="5">
        <f t="shared" si="52"/>
        <v>10.99928571428571</v>
      </c>
      <c r="AV11" s="5">
        <f t="shared" si="28"/>
        <v>0.99428571428571422</v>
      </c>
      <c r="AW11" s="178">
        <f t="shared" si="53"/>
        <v>8.4482758620689671E-2</v>
      </c>
      <c r="AX11" s="178">
        <f t="shared" si="29"/>
        <v>0.29400000000000004</v>
      </c>
      <c r="AY11" s="178">
        <f t="shared" si="30"/>
        <v>0.26549999999999996</v>
      </c>
      <c r="AZ11" s="178">
        <f t="shared" si="54"/>
        <v>1.1073446327683618</v>
      </c>
      <c r="BA11" s="471">
        <f t="shared" si="31"/>
        <v>0.20300000000000001</v>
      </c>
      <c r="BB11" s="5">
        <f t="shared" si="32"/>
        <v>0.11578195488721801</v>
      </c>
      <c r="BC11" s="5"/>
      <c r="BD11" s="178">
        <f t="shared" si="55"/>
        <v>4.8665525100766487E-2</v>
      </c>
      <c r="BE11" s="178">
        <f t="shared" si="33"/>
        <v>0.32040599245332474</v>
      </c>
      <c r="BF11" s="178"/>
      <c r="BG11" s="545">
        <f t="shared" si="34"/>
        <v>8.289166666666665E-4</v>
      </c>
      <c r="BH11" s="545">
        <f t="shared" si="35"/>
        <v>8.780172413793105E-3</v>
      </c>
      <c r="BI11" s="545">
        <f t="shared" si="36"/>
        <v>1.0404280618311536E-3</v>
      </c>
      <c r="BJ11" s="545">
        <f t="shared" si="37"/>
        <v>9.7893876337693253E-3</v>
      </c>
      <c r="BK11">
        <f t="shared" si="38"/>
        <v>6.96E-3</v>
      </c>
      <c r="BL11" s="545">
        <f t="shared" si="39"/>
        <v>2.7406776540140572E-2</v>
      </c>
      <c r="BM11" s="471">
        <f t="shared" si="56"/>
        <v>27.406776540140573</v>
      </c>
      <c r="BN11" s="545">
        <f t="shared" si="40"/>
        <v>7.1999999999999998E-3</v>
      </c>
      <c r="BO11" s="545"/>
      <c r="BQ11" s="471">
        <f t="shared" si="57"/>
        <v>7.2</v>
      </c>
      <c r="BR11" s="545">
        <f t="shared" si="41"/>
        <v>2.2499166666666663E-4</v>
      </c>
      <c r="BS11" s="545">
        <f t="shared" si="42"/>
        <v>9.2393999999999983E-3</v>
      </c>
      <c r="BT11" s="545">
        <f t="shared" si="43"/>
        <v>1.4312651924842644E-4</v>
      </c>
      <c r="BU11" s="545">
        <f t="shared" si="44"/>
        <v>9.6147980430731344E-3</v>
      </c>
      <c r="BV11" s="545">
        <f t="shared" si="45"/>
        <v>1.5750000000000004E-3</v>
      </c>
      <c r="BW11" s="471">
        <f t="shared" si="58"/>
        <v>11.189798043073134</v>
      </c>
      <c r="BX11" s="178">
        <f t="shared" si="59"/>
        <v>4.5796574583213706E-2</v>
      </c>
      <c r="BY11" s="5">
        <f t="shared" si="60"/>
        <v>0.28800000000000003</v>
      </c>
      <c r="BZ11" s="178">
        <f t="shared" si="61"/>
        <v>0.86280094503547133</v>
      </c>
      <c r="CA11" s="5">
        <f t="shared" si="62"/>
        <v>86.280094503547133</v>
      </c>
      <c r="CD11" s="580">
        <f t="shared" si="46"/>
        <v>-50</v>
      </c>
      <c r="CE11">
        <f t="shared" si="47"/>
        <v>-50</v>
      </c>
    </row>
    <row r="12" spans="2:83" x14ac:dyDescent="0.2">
      <c r="E12" s="175">
        <v>7</v>
      </c>
      <c r="F12" s="222">
        <f t="shared" si="48"/>
        <v>2.8000000000000004E-2</v>
      </c>
      <c r="G12" s="222"/>
      <c r="H12" s="222">
        <f t="shared" si="0"/>
        <v>0.33600000000000008</v>
      </c>
      <c r="I12" s="558">
        <f t="shared" si="1"/>
        <v>24</v>
      </c>
      <c r="J12" s="177">
        <f t="shared" si="2"/>
        <v>24.5</v>
      </c>
      <c r="K12" s="453">
        <f t="shared" si="3"/>
        <v>48.5</v>
      </c>
      <c r="L12" s="453"/>
      <c r="M12" s="222">
        <f t="shared" si="4"/>
        <v>0.50515463917525771</v>
      </c>
      <c r="N12" s="177">
        <f t="shared" si="5"/>
        <v>8.3502061855670089</v>
      </c>
      <c r="O12" s="177">
        <f t="shared" si="49"/>
        <v>0.33600000000000008</v>
      </c>
      <c r="P12" s="222">
        <f t="shared" si="6"/>
        <v>0.69585051546391741</v>
      </c>
      <c r="Q12" s="222">
        <f t="shared" si="7"/>
        <v>12</v>
      </c>
      <c r="R12" s="222">
        <f t="shared" si="8"/>
        <v>0.73247422680412366</v>
      </c>
      <c r="S12" s="177">
        <f t="shared" si="9"/>
        <v>578.36232767581396</v>
      </c>
      <c r="T12" s="177">
        <f t="shared" si="10"/>
        <v>12</v>
      </c>
      <c r="U12" s="222">
        <f t="shared" si="11"/>
        <v>5.8345864661654159E-2</v>
      </c>
      <c r="V12" s="222">
        <f t="shared" si="12"/>
        <v>0.20421052631578954</v>
      </c>
      <c r="W12" s="222">
        <f t="shared" si="13"/>
        <v>0.20004296455424281</v>
      </c>
      <c r="X12" s="202">
        <f t="shared" si="14"/>
        <v>350</v>
      </c>
      <c r="Y12" s="453">
        <f t="shared" si="50"/>
        <v>350</v>
      </c>
      <c r="AA12" s="222">
        <f t="shared" si="15"/>
        <v>0.41237113402061859</v>
      </c>
      <c r="AB12" s="178">
        <f t="shared" si="16"/>
        <v>1.4138438880706923</v>
      </c>
      <c r="AC12" s="178">
        <f t="shared" si="17"/>
        <v>0.20405994260814117</v>
      </c>
      <c r="AD12" s="178"/>
      <c r="AE12" s="178">
        <f t="shared" si="18"/>
        <v>0.99428571428571422</v>
      </c>
      <c r="AF12" s="562">
        <f t="shared" si="63"/>
        <v>97.10661910424102</v>
      </c>
      <c r="AG12" s="545">
        <f t="shared" si="19"/>
        <v>0.10091999999999998</v>
      </c>
      <c r="AI12" s="178">
        <f t="shared" si="20"/>
        <v>0.15672078199387576</v>
      </c>
      <c r="AJ12" s="178">
        <f t="shared" si="21"/>
        <v>0.28999999999999998</v>
      </c>
      <c r="AK12" s="178">
        <f t="shared" si="22"/>
        <v>1.0554894966309949</v>
      </c>
      <c r="AM12" s="562">
        <f t="shared" si="23"/>
        <v>28.000000000000004</v>
      </c>
      <c r="AN12" s="471">
        <f t="shared" si="24"/>
        <v>97.10661910424102</v>
      </c>
      <c r="AP12">
        <f t="shared" si="25"/>
        <v>28.000000000000004</v>
      </c>
      <c r="AQ12" s="471">
        <f t="shared" si="26"/>
        <v>97.10661910424102</v>
      </c>
      <c r="AR12" s="471"/>
      <c r="AS12" s="5">
        <f t="shared" si="51"/>
        <v>10.297959183673466</v>
      </c>
      <c r="AT12" s="5">
        <f t="shared" si="27"/>
        <v>1.0149999999999999</v>
      </c>
      <c r="AU12" s="5">
        <f t="shared" si="52"/>
        <v>9.2829591836734657</v>
      </c>
      <c r="AV12" s="5">
        <f t="shared" si="28"/>
        <v>0.99428571428571422</v>
      </c>
      <c r="AW12" s="178">
        <f t="shared" si="53"/>
        <v>9.8563218390804619E-2</v>
      </c>
      <c r="AX12" s="178">
        <f t="shared" si="29"/>
        <v>0.34300000000000008</v>
      </c>
      <c r="AY12" s="178">
        <f t="shared" si="30"/>
        <v>0.26141666666666663</v>
      </c>
      <c r="AZ12" s="178">
        <f t="shared" si="54"/>
        <v>1.3120816066305392</v>
      </c>
      <c r="BA12" s="471">
        <f t="shared" si="31"/>
        <v>0.23683333333333334</v>
      </c>
      <c r="BB12" s="5">
        <f t="shared" si="32"/>
        <v>0.11400125313283205</v>
      </c>
      <c r="BC12" s="5"/>
      <c r="BD12" s="178">
        <f t="shared" si="55"/>
        <v>5.2564774854987784E-2</v>
      </c>
      <c r="BE12" s="178">
        <f t="shared" si="33"/>
        <v>0.31793255748839422</v>
      </c>
      <c r="BF12" s="178"/>
      <c r="BG12" s="545">
        <f t="shared" si="34"/>
        <v>9.6706944444444455E-4</v>
      </c>
      <c r="BH12" s="545">
        <f t="shared" si="35"/>
        <v>1.0243534482758623E-2</v>
      </c>
      <c r="BI12" s="545">
        <f t="shared" si="36"/>
        <v>1.2138327388030127E-3</v>
      </c>
      <c r="BJ12" s="545">
        <f t="shared" si="37"/>
        <v>1.1420952239397547E-2</v>
      </c>
      <c r="BK12">
        <f t="shared" si="38"/>
        <v>6.96E-3</v>
      </c>
      <c r="BL12" s="545">
        <f t="shared" si="39"/>
        <v>3.081571492983759E-2</v>
      </c>
      <c r="BM12" s="471">
        <f t="shared" si="56"/>
        <v>30.81571492983759</v>
      </c>
      <c r="BN12" s="545">
        <f t="shared" si="40"/>
        <v>8.4000000000000012E-3</v>
      </c>
      <c r="BO12" s="545"/>
      <c r="BQ12" s="471">
        <f t="shared" si="57"/>
        <v>8.4</v>
      </c>
      <c r="BR12" s="545">
        <f t="shared" si="41"/>
        <v>2.6249027777777782E-4</v>
      </c>
      <c r="BS12" s="545">
        <f t="shared" si="42"/>
        <v>9.0972999999999974E-3</v>
      </c>
      <c r="BT12" s="545">
        <f t="shared" si="43"/>
        <v>2.1042003267325015E-4</v>
      </c>
      <c r="BU12" s="545">
        <f t="shared" si="44"/>
        <v>9.5773816931756933E-3</v>
      </c>
      <c r="BV12" s="545">
        <f t="shared" si="45"/>
        <v>1.8375000000000006E-3</v>
      </c>
      <c r="BW12" s="471">
        <f t="shared" si="58"/>
        <v>11.414881693175694</v>
      </c>
      <c r="BX12" s="178">
        <f t="shared" si="59"/>
        <v>5.0630596623013287E-2</v>
      </c>
      <c r="BY12" s="5">
        <f t="shared" si="60"/>
        <v>0.33600000000000008</v>
      </c>
      <c r="BZ12" s="178">
        <f t="shared" si="61"/>
        <v>0.86904658590075068</v>
      </c>
      <c r="CA12" s="5">
        <f t="shared" si="62"/>
        <v>86.904658590075073</v>
      </c>
      <c r="CD12" s="580">
        <f t="shared" si="46"/>
        <v>-50</v>
      </c>
      <c r="CE12">
        <f t="shared" si="47"/>
        <v>-50</v>
      </c>
    </row>
    <row r="13" spans="2:83" s="77" customFormat="1" x14ac:dyDescent="0.2">
      <c r="E13" s="194">
        <v>8</v>
      </c>
      <c r="F13" s="222">
        <f t="shared" si="48"/>
        <v>3.2000000000000001E-2</v>
      </c>
      <c r="G13" s="222"/>
      <c r="H13" s="222">
        <f t="shared" si="0"/>
        <v>0.38400000000000001</v>
      </c>
      <c r="I13" s="558">
        <f t="shared" si="1"/>
        <v>24</v>
      </c>
      <c r="J13" s="177">
        <f t="shared" si="2"/>
        <v>24.5</v>
      </c>
      <c r="K13" s="552">
        <f t="shared" si="3"/>
        <v>48.5</v>
      </c>
      <c r="L13" s="552"/>
      <c r="M13" s="334">
        <f t="shared" si="4"/>
        <v>0.50515463917525771</v>
      </c>
      <c r="N13" s="177">
        <f t="shared" si="5"/>
        <v>8.3502061855670089</v>
      </c>
      <c r="O13" s="177">
        <f t="shared" si="49"/>
        <v>0.38400000000000001</v>
      </c>
      <c r="P13" s="334">
        <f t="shared" si="6"/>
        <v>0.69585051546391741</v>
      </c>
      <c r="Q13" s="222">
        <f t="shared" si="7"/>
        <v>12</v>
      </c>
      <c r="R13" s="222">
        <f t="shared" si="8"/>
        <v>0.73247422680412366</v>
      </c>
      <c r="S13" s="177">
        <f t="shared" si="9"/>
        <v>504.56844273058601</v>
      </c>
      <c r="T13" s="177">
        <f t="shared" si="10"/>
        <v>12</v>
      </c>
      <c r="U13" s="222">
        <f t="shared" si="11"/>
        <v>6.6680988184747589E-2</v>
      </c>
      <c r="V13" s="334">
        <f t="shared" si="12"/>
        <v>0.23338345864661655</v>
      </c>
      <c r="W13" s="222">
        <f t="shared" si="13"/>
        <v>0.22862053091913456</v>
      </c>
      <c r="X13" s="554">
        <f t="shared" si="14"/>
        <v>350</v>
      </c>
      <c r="Y13" s="552">
        <f t="shared" si="50"/>
        <v>350</v>
      </c>
      <c r="AA13" s="334">
        <f t="shared" si="15"/>
        <v>0.41237113402061859</v>
      </c>
      <c r="AB13" s="178">
        <f t="shared" si="16"/>
        <v>1.4138438880706923</v>
      </c>
      <c r="AC13" s="555">
        <f t="shared" si="17"/>
        <v>0.20405994260814117</v>
      </c>
      <c r="AD13" s="555"/>
      <c r="AE13" s="178">
        <f t="shared" si="18"/>
        <v>0.99428571428571422</v>
      </c>
      <c r="AF13" s="562">
        <f t="shared" si="63"/>
        <v>110.97899326198973</v>
      </c>
      <c r="AG13" s="545">
        <f t="shared" si="19"/>
        <v>0.10091999999999998</v>
      </c>
      <c r="AH13"/>
      <c r="AI13" s="178">
        <f t="shared" si="20"/>
        <v>0.16754156331667822</v>
      </c>
      <c r="AJ13" s="178">
        <f t="shared" si="21"/>
        <v>0.28999999999999998</v>
      </c>
      <c r="AK13" s="178">
        <f t="shared" si="22"/>
        <v>1.0634165675782798</v>
      </c>
      <c r="AM13" s="562">
        <f t="shared" si="23"/>
        <v>32</v>
      </c>
      <c r="AN13" s="471">
        <f t="shared" si="24"/>
        <v>110.97899326198973</v>
      </c>
      <c r="AP13">
        <f t="shared" si="25"/>
        <v>32</v>
      </c>
      <c r="AQ13" s="471">
        <f t="shared" si="26"/>
        <v>110.97899326198973</v>
      </c>
      <c r="AR13" s="471"/>
      <c r="AS13" s="5">
        <f t="shared" si="51"/>
        <v>9.0107142857142826</v>
      </c>
      <c r="AT13" s="5">
        <f t="shared" si="27"/>
        <v>1.0149999999999999</v>
      </c>
      <c r="AU13" s="5">
        <f t="shared" si="52"/>
        <v>7.9957142857142829</v>
      </c>
      <c r="AV13" s="5">
        <f t="shared" si="28"/>
        <v>0.99428571428571422</v>
      </c>
      <c r="AW13" s="178">
        <f t="shared" si="53"/>
        <v>0.11264367816091957</v>
      </c>
      <c r="AX13" s="178">
        <f t="shared" si="29"/>
        <v>0.39200000000000002</v>
      </c>
      <c r="AY13" s="178">
        <f t="shared" si="30"/>
        <v>0.2573333333333333</v>
      </c>
      <c r="AZ13" s="178">
        <f t="shared" si="54"/>
        <v>1.5233160621761661</v>
      </c>
      <c r="BA13" s="471">
        <f t="shared" si="31"/>
        <v>0.27066666666666661</v>
      </c>
      <c r="BB13" s="5">
        <f t="shared" si="32"/>
        <v>0.11222055137844608</v>
      </c>
      <c r="BC13" s="5"/>
      <c r="BD13" s="178">
        <f t="shared" si="55"/>
        <v>5.6194108034364046E-2</v>
      </c>
      <c r="BE13" s="178">
        <f t="shared" si="33"/>
        <v>0.31543972835111023</v>
      </c>
      <c r="BF13" s="178"/>
      <c r="BG13" s="545">
        <f t="shared" si="34"/>
        <v>1.1052222222222223E-3</v>
      </c>
      <c r="BH13" s="545">
        <f t="shared" si="35"/>
        <v>1.1706896551724142E-2</v>
      </c>
      <c r="BI13" s="545">
        <f t="shared" si="36"/>
        <v>1.3872374157748715E-3</v>
      </c>
      <c r="BJ13" s="545">
        <f t="shared" si="37"/>
        <v>1.3052516845025768E-2</v>
      </c>
      <c r="BK13">
        <f t="shared" si="38"/>
        <v>6.96E-3</v>
      </c>
      <c r="BL13" s="545">
        <f t="shared" si="39"/>
        <v>3.4224979815904812E-2</v>
      </c>
      <c r="BM13" s="471">
        <f t="shared" si="56"/>
        <v>34.22497981590481</v>
      </c>
      <c r="BN13" s="545">
        <f t="shared" si="40"/>
        <v>9.5999999999999992E-3</v>
      </c>
      <c r="BO13" s="545"/>
      <c r="BQ13" s="471">
        <f t="shared" si="57"/>
        <v>9.6</v>
      </c>
      <c r="BR13" s="545">
        <f t="shared" si="41"/>
        <v>2.9998888888888893E-4</v>
      </c>
      <c r="BS13" s="545">
        <f t="shared" si="42"/>
        <v>8.9551999999999982E-3</v>
      </c>
      <c r="BT13" s="545">
        <f t="shared" si="43"/>
        <v>2.9381025570223421E-4</v>
      </c>
      <c r="BU13" s="545">
        <f t="shared" si="44"/>
        <v>9.5560746066327765E-3</v>
      </c>
      <c r="BV13" s="545">
        <f t="shared" si="45"/>
        <v>2.1000000000000007E-3</v>
      </c>
      <c r="BW13" s="471">
        <f t="shared" si="58"/>
        <v>11.656074606632778</v>
      </c>
      <c r="BX13" s="178">
        <f t="shared" si="59"/>
        <v>5.5481054422537583E-2</v>
      </c>
      <c r="BY13" s="5">
        <f t="shared" si="60"/>
        <v>0.38400000000000001</v>
      </c>
      <c r="BZ13" s="178">
        <f t="shared" si="61"/>
        <v>0.87375780169764605</v>
      </c>
      <c r="CA13" s="5">
        <f t="shared" si="62"/>
        <v>87.37578016976461</v>
      </c>
      <c r="CD13" s="580">
        <f t="shared" si="46"/>
        <v>-50</v>
      </c>
      <c r="CE13">
        <f t="shared" si="47"/>
        <v>-50</v>
      </c>
    </row>
    <row r="14" spans="2:83" x14ac:dyDescent="0.2">
      <c r="E14" s="175">
        <v>9</v>
      </c>
      <c r="F14" s="222">
        <f t="shared" si="48"/>
        <v>3.5999999999999997E-2</v>
      </c>
      <c r="G14" s="222"/>
      <c r="H14" s="222">
        <f t="shared" si="0"/>
        <v>0.43199999999999994</v>
      </c>
      <c r="I14" s="558">
        <f t="shared" si="1"/>
        <v>24</v>
      </c>
      <c r="J14" s="177">
        <f t="shared" si="2"/>
        <v>24.5</v>
      </c>
      <c r="K14" s="453">
        <f t="shared" si="3"/>
        <v>48.5</v>
      </c>
      <c r="L14" s="453"/>
      <c r="M14" s="222">
        <f t="shared" si="4"/>
        <v>0.50515463917525771</v>
      </c>
      <c r="N14" s="177">
        <f t="shared" si="5"/>
        <v>8.3502061855670089</v>
      </c>
      <c r="O14" s="177">
        <f t="shared" si="49"/>
        <v>0.43199999999999994</v>
      </c>
      <c r="P14" s="222">
        <f t="shared" si="6"/>
        <v>0.69585051546391741</v>
      </c>
      <c r="Q14" s="222">
        <f t="shared" si="7"/>
        <v>12</v>
      </c>
      <c r="R14" s="222">
        <f t="shared" si="8"/>
        <v>0.73247422680412366</v>
      </c>
      <c r="S14" s="177">
        <f t="shared" si="9"/>
        <v>447.17337172543108</v>
      </c>
      <c r="T14" s="177">
        <f t="shared" si="10"/>
        <v>12</v>
      </c>
      <c r="U14" s="222">
        <f t="shared" si="11"/>
        <v>7.5016111707841032E-2</v>
      </c>
      <c r="V14" s="222">
        <f t="shared" si="12"/>
        <v>0.2625563909774436</v>
      </c>
      <c r="W14" s="222">
        <f t="shared" si="13"/>
        <v>0.25719809728402637</v>
      </c>
      <c r="X14" s="202">
        <f t="shared" si="14"/>
        <v>350</v>
      </c>
      <c r="Y14" s="453">
        <f t="shared" si="50"/>
        <v>350</v>
      </c>
      <c r="AA14" s="222">
        <f t="shared" si="15"/>
        <v>0.41237113402061859</v>
      </c>
      <c r="AB14" s="178">
        <f t="shared" si="16"/>
        <v>1.4138438880706923</v>
      </c>
      <c r="AC14" s="178">
        <f t="shared" si="17"/>
        <v>0.20405994260814117</v>
      </c>
      <c r="AD14" s="178"/>
      <c r="AE14" s="178">
        <f t="shared" si="18"/>
        <v>0.99428571428571422</v>
      </c>
      <c r="AF14" s="562">
        <f t="shared" si="63"/>
        <v>124.85136741973842</v>
      </c>
      <c r="AG14" s="545">
        <f t="shared" si="19"/>
        <v>0.10091999999999998</v>
      </c>
      <c r="AI14" s="178">
        <f t="shared" si="20"/>
        <v>0.17770466332772772</v>
      </c>
      <c r="AJ14" s="178">
        <f t="shared" si="21"/>
        <v>0.28999999999999998</v>
      </c>
      <c r="AK14" s="178">
        <f t="shared" si="22"/>
        <v>1.0713436385255648</v>
      </c>
      <c r="AM14" s="562">
        <f t="shared" si="23"/>
        <v>36</v>
      </c>
      <c r="AN14" s="471">
        <f t="shared" si="24"/>
        <v>124.85136741973842</v>
      </c>
      <c r="AP14">
        <f t="shared" si="25"/>
        <v>36</v>
      </c>
      <c r="AQ14" s="471">
        <f t="shared" si="26"/>
        <v>124.85136741973842</v>
      </c>
      <c r="AR14" s="471"/>
      <c r="AS14" s="5">
        <f t="shared" si="51"/>
        <v>8.0095238095238077</v>
      </c>
      <c r="AT14" s="5">
        <f t="shared" si="27"/>
        <v>1.0149999999999999</v>
      </c>
      <c r="AU14" s="5">
        <f t="shared" si="52"/>
        <v>6.994523809523808</v>
      </c>
      <c r="AV14" s="5">
        <f t="shared" si="28"/>
        <v>0.99428571428571422</v>
      </c>
      <c r="AW14" s="178">
        <f t="shared" si="53"/>
        <v>0.12672413793103449</v>
      </c>
      <c r="AX14" s="178">
        <f t="shared" si="29"/>
        <v>0.441</v>
      </c>
      <c r="AY14" s="178">
        <f t="shared" si="30"/>
        <v>0.25324999999999998</v>
      </c>
      <c r="AZ14" s="178">
        <f t="shared" si="54"/>
        <v>1.7413622902270485</v>
      </c>
      <c r="BA14" s="471">
        <f t="shared" si="31"/>
        <v>0.30449999999999999</v>
      </c>
      <c r="BB14" s="5">
        <f t="shared" si="32"/>
        <v>0.11043984962406009</v>
      </c>
      <c r="BC14" s="5"/>
      <c r="BD14" s="178">
        <f t="shared" si="55"/>
        <v>5.9602852280742406E-2</v>
      </c>
      <c r="BE14" s="178">
        <f t="shared" si="33"/>
        <v>0.31292704155015644</v>
      </c>
      <c r="BF14" s="178"/>
      <c r="BG14" s="545">
        <f t="shared" si="34"/>
        <v>1.2433749999999999E-3</v>
      </c>
      <c r="BH14" s="545">
        <f t="shared" si="35"/>
        <v>1.3170258620689657E-2</v>
      </c>
      <c r="BI14" s="545">
        <f t="shared" si="36"/>
        <v>1.5606420927467301E-3</v>
      </c>
      <c r="BJ14" s="545">
        <f t="shared" si="37"/>
        <v>1.4684081450653986E-2</v>
      </c>
      <c r="BK14">
        <f t="shared" si="38"/>
        <v>6.96E-3</v>
      </c>
      <c r="BL14" s="545">
        <f t="shared" si="39"/>
        <v>3.7634571245250513E-2</v>
      </c>
      <c r="BM14" s="471">
        <f t="shared" si="56"/>
        <v>37.634571245250513</v>
      </c>
      <c r="BN14" s="545">
        <f t="shared" si="40"/>
        <v>1.0799999999999999E-2</v>
      </c>
      <c r="BO14" s="545"/>
      <c r="BQ14" s="471">
        <f t="shared" si="57"/>
        <v>10.799999999999999</v>
      </c>
      <c r="BR14" s="545">
        <f t="shared" si="41"/>
        <v>3.3748750000000004E-4</v>
      </c>
      <c r="BS14" s="545">
        <f t="shared" si="42"/>
        <v>8.8130999999999991E-3</v>
      </c>
      <c r="BT14" s="545">
        <f t="shared" si="43"/>
        <v>3.9441030842169035E-4</v>
      </c>
      <c r="BU14" s="545">
        <f t="shared" si="44"/>
        <v>9.5519903142752844E-3</v>
      </c>
      <c r="BV14" s="545">
        <f t="shared" si="45"/>
        <v>2.3625000000000005E-3</v>
      </c>
      <c r="BW14" s="471">
        <f t="shared" si="58"/>
        <v>11.914490314275284</v>
      </c>
      <c r="BX14" s="178">
        <f t="shared" si="59"/>
        <v>6.0349061559525796E-2</v>
      </c>
      <c r="BY14" s="5">
        <f t="shared" si="60"/>
        <v>0.43199999999999994</v>
      </c>
      <c r="BZ14" s="178">
        <f t="shared" si="61"/>
        <v>0.87742626873631302</v>
      </c>
      <c r="CA14" s="5">
        <f t="shared" si="62"/>
        <v>87.742626873631309</v>
      </c>
      <c r="CD14" s="580">
        <f t="shared" si="46"/>
        <v>-50</v>
      </c>
      <c r="CE14">
        <f t="shared" si="47"/>
        <v>-50</v>
      </c>
    </row>
    <row r="15" spans="2:83" x14ac:dyDescent="0.2">
      <c r="E15" s="175">
        <v>10</v>
      </c>
      <c r="F15" s="222">
        <f t="shared" si="48"/>
        <v>4.0000000000000008E-2</v>
      </c>
      <c r="G15" s="222"/>
      <c r="H15" s="222">
        <f t="shared" si="0"/>
        <v>0.48000000000000009</v>
      </c>
      <c r="I15" s="558">
        <f t="shared" si="1"/>
        <v>24</v>
      </c>
      <c r="J15" s="177">
        <f t="shared" si="2"/>
        <v>24.5</v>
      </c>
      <c r="K15" s="453">
        <f t="shared" si="3"/>
        <v>48.5</v>
      </c>
      <c r="L15" s="453"/>
      <c r="M15" s="222">
        <f t="shared" si="4"/>
        <v>0.50515463917525771</v>
      </c>
      <c r="N15" s="177">
        <f t="shared" si="5"/>
        <v>8.3502061855670089</v>
      </c>
      <c r="O15" s="177">
        <f t="shared" si="49"/>
        <v>0.48000000000000009</v>
      </c>
      <c r="P15" s="222">
        <f t="shared" si="6"/>
        <v>0.69585051546391741</v>
      </c>
      <c r="Q15" s="222">
        <f t="shared" si="7"/>
        <v>12</v>
      </c>
      <c r="R15" s="222">
        <f t="shared" si="8"/>
        <v>0.73247422680412366</v>
      </c>
      <c r="S15" s="177">
        <f t="shared" si="9"/>
        <v>401.25747184102499</v>
      </c>
      <c r="T15" s="177">
        <f t="shared" si="10"/>
        <v>12</v>
      </c>
      <c r="U15" s="222">
        <f t="shared" si="11"/>
        <v>8.3351235230934503E-2</v>
      </c>
      <c r="V15" s="222">
        <f t="shared" si="12"/>
        <v>0.29172932330827078</v>
      </c>
      <c r="W15" s="222">
        <f t="shared" si="13"/>
        <v>0.28577566364891827</v>
      </c>
      <c r="X15" s="202">
        <f t="shared" si="14"/>
        <v>350</v>
      </c>
      <c r="Y15" s="453">
        <f t="shared" si="50"/>
        <v>350</v>
      </c>
      <c r="AA15" s="222">
        <f t="shared" si="15"/>
        <v>0.41237113402061859</v>
      </c>
      <c r="AB15" s="178">
        <f t="shared" si="16"/>
        <v>1.4138438880706923</v>
      </c>
      <c r="AC15" s="178">
        <f t="shared" si="17"/>
        <v>0.20405994260814117</v>
      </c>
      <c r="AD15" s="178"/>
      <c r="AE15" s="178">
        <f t="shared" si="18"/>
        <v>0.99428571428571422</v>
      </c>
      <c r="AF15" s="562">
        <f t="shared" si="63"/>
        <v>138.72374157748717</v>
      </c>
      <c r="AG15" s="545">
        <f t="shared" si="19"/>
        <v>0.10091999999999998</v>
      </c>
      <c r="AI15" s="178">
        <f t="shared" si="20"/>
        <v>0.18731716231633883</v>
      </c>
      <c r="AJ15" s="178">
        <f t="shared" si="21"/>
        <v>0.28999999999999998</v>
      </c>
      <c r="AK15" s="178">
        <f t="shared" si="22"/>
        <v>1.0792707094728498</v>
      </c>
      <c r="AM15" s="562">
        <f t="shared" si="23"/>
        <v>40.000000000000007</v>
      </c>
      <c r="AN15" s="471">
        <f t="shared" si="24"/>
        <v>138.72374157748717</v>
      </c>
      <c r="AP15">
        <f t="shared" si="25"/>
        <v>40.000000000000007</v>
      </c>
      <c r="AQ15" s="471">
        <f t="shared" si="26"/>
        <v>138.72374157748717</v>
      </c>
      <c r="AR15" s="471"/>
      <c r="AS15" s="5">
        <f t="shared" si="51"/>
        <v>7.2085714285714255</v>
      </c>
      <c r="AT15" s="5">
        <f t="shared" si="27"/>
        <v>1.0149999999999999</v>
      </c>
      <c r="AU15" s="5">
        <f t="shared" si="52"/>
        <v>6.1935714285714258</v>
      </c>
      <c r="AV15" s="5">
        <f t="shared" si="28"/>
        <v>0.99428571428571422</v>
      </c>
      <c r="AW15" s="178">
        <f t="shared" si="53"/>
        <v>0.14080459770114948</v>
      </c>
      <c r="AX15" s="178">
        <f t="shared" si="29"/>
        <v>0.4900000000000001</v>
      </c>
      <c r="AY15" s="178">
        <f t="shared" si="30"/>
        <v>0.24916666666666662</v>
      </c>
      <c r="AZ15" s="178">
        <f t="shared" si="54"/>
        <v>1.966555183946489</v>
      </c>
      <c r="BA15" s="471">
        <f t="shared" si="31"/>
        <v>0.33833333333333337</v>
      </c>
      <c r="BB15" s="5">
        <f t="shared" si="32"/>
        <v>0.10865914786967415</v>
      </c>
      <c r="BC15" s="5"/>
      <c r="BD15" s="178">
        <f t="shared" si="55"/>
        <v>6.282692274990255E-2</v>
      </c>
      <c r="BE15" s="178">
        <f t="shared" si="33"/>
        <v>0.31039401483347645</v>
      </c>
      <c r="BF15" s="178"/>
      <c r="BG15" s="545">
        <f t="shared" si="34"/>
        <v>1.3815277777777777E-3</v>
      </c>
      <c r="BH15" s="545">
        <f t="shared" si="35"/>
        <v>1.4633620689655177E-2</v>
      </c>
      <c r="BI15" s="545">
        <f t="shared" si="36"/>
        <v>1.7340467697185896E-3</v>
      </c>
      <c r="BJ15" s="545">
        <f t="shared" si="37"/>
        <v>1.6315646056282211E-2</v>
      </c>
      <c r="BK15">
        <f t="shared" si="38"/>
        <v>6.96E-3</v>
      </c>
      <c r="BL15" s="545">
        <f t="shared" si="39"/>
        <v>4.1044489264792011E-2</v>
      </c>
      <c r="BM15" s="471">
        <f t="shared" si="56"/>
        <v>41.044489264792013</v>
      </c>
      <c r="BN15" s="545">
        <f t="shared" si="40"/>
        <v>1.2000000000000002E-2</v>
      </c>
      <c r="BO15" s="545"/>
      <c r="BQ15" s="471">
        <f t="shared" si="57"/>
        <v>12.000000000000002</v>
      </c>
      <c r="BR15" s="545">
        <f t="shared" si="41"/>
        <v>3.7498611111111115E-4</v>
      </c>
      <c r="BS15" s="545">
        <f t="shared" si="42"/>
        <v>8.6709999999999964E-3</v>
      </c>
      <c r="BT15" s="545">
        <f t="shared" si="43"/>
        <v>5.1326539393499264E-4</v>
      </c>
      <c r="BU15" s="545">
        <f t="shared" si="44"/>
        <v>9.5661743434658966E-3</v>
      </c>
      <c r="BV15" s="545">
        <f t="shared" si="45"/>
        <v>2.625000000000001E-3</v>
      </c>
      <c r="BW15" s="471">
        <f t="shared" si="58"/>
        <v>12.191174343465898</v>
      </c>
      <c r="BX15" s="178">
        <f t="shared" si="59"/>
        <v>6.5235663608257916E-2</v>
      </c>
      <c r="BY15" s="5">
        <f t="shared" si="60"/>
        <v>0.48000000000000009</v>
      </c>
      <c r="BZ15" s="178">
        <f t="shared" si="61"/>
        <v>0.8803532711405162</v>
      </c>
      <c r="CA15" s="5">
        <f t="shared" si="62"/>
        <v>88.035327114051626</v>
      </c>
      <c r="CD15" s="580">
        <f t="shared" si="46"/>
        <v>-50</v>
      </c>
      <c r="CE15">
        <f t="shared" si="47"/>
        <v>-50</v>
      </c>
    </row>
    <row r="16" spans="2:83" x14ac:dyDescent="0.2">
      <c r="E16" s="175">
        <v>11</v>
      </c>
      <c r="F16" s="222">
        <f t="shared" si="48"/>
        <v>4.4000000000000004E-2</v>
      </c>
      <c r="G16" s="222"/>
      <c r="H16" s="222">
        <f t="shared" si="0"/>
        <v>0.52800000000000002</v>
      </c>
      <c r="I16" s="558">
        <f t="shared" si="1"/>
        <v>24</v>
      </c>
      <c r="J16" s="177">
        <f t="shared" si="2"/>
        <v>24.5</v>
      </c>
      <c r="K16" s="453">
        <f t="shared" si="3"/>
        <v>48.5</v>
      </c>
      <c r="L16" s="453"/>
      <c r="M16" s="222">
        <f t="shared" si="4"/>
        <v>0.50515463917525771</v>
      </c>
      <c r="N16" s="177">
        <f t="shared" si="5"/>
        <v>8.3502061855670089</v>
      </c>
      <c r="O16" s="177">
        <f t="shared" si="49"/>
        <v>0.52800000000000002</v>
      </c>
      <c r="P16" s="222">
        <f t="shared" si="6"/>
        <v>0.69585051546391741</v>
      </c>
      <c r="Q16" s="222">
        <f t="shared" si="7"/>
        <v>12</v>
      </c>
      <c r="R16" s="222">
        <f t="shared" si="8"/>
        <v>0.73247422680412366</v>
      </c>
      <c r="S16" s="177">
        <f t="shared" si="9"/>
        <v>363.69006129742701</v>
      </c>
      <c r="T16" s="177">
        <f t="shared" si="10"/>
        <v>12</v>
      </c>
      <c r="U16" s="222">
        <f t="shared" si="11"/>
        <v>9.1686358754027947E-2</v>
      </c>
      <c r="V16" s="222">
        <f t="shared" si="12"/>
        <v>0.3209022556390978</v>
      </c>
      <c r="W16" s="222">
        <f t="shared" si="13"/>
        <v>0.3143532300138101</v>
      </c>
      <c r="X16" s="202">
        <f t="shared" si="14"/>
        <v>350</v>
      </c>
      <c r="Y16" s="453">
        <f t="shared" si="50"/>
        <v>350</v>
      </c>
      <c r="AA16" s="222">
        <f t="shared" si="15"/>
        <v>0.41237113402061859</v>
      </c>
      <c r="AB16" s="178">
        <f t="shared" si="16"/>
        <v>1.4138438880706923</v>
      </c>
      <c r="AC16" s="178">
        <f t="shared" si="17"/>
        <v>0.20405994260814117</v>
      </c>
      <c r="AD16" s="178"/>
      <c r="AE16" s="178">
        <f t="shared" si="18"/>
        <v>0.99428571428571422</v>
      </c>
      <c r="AF16" s="562">
        <f t="shared" si="63"/>
        <v>152.59611573523588</v>
      </c>
      <c r="AG16" s="545">
        <f t="shared" si="19"/>
        <v>0.10091999999999998</v>
      </c>
      <c r="AI16" s="178">
        <f t="shared" si="20"/>
        <v>0.19645989725150062</v>
      </c>
      <c r="AJ16" s="178">
        <f t="shared" si="21"/>
        <v>0.28999999999999998</v>
      </c>
      <c r="AK16" s="178">
        <f t="shared" si="22"/>
        <v>1.0871977804201347</v>
      </c>
      <c r="AM16" s="562">
        <f t="shared" si="23"/>
        <v>44.000000000000007</v>
      </c>
      <c r="AN16" s="471">
        <f t="shared" si="24"/>
        <v>152.59611573523588</v>
      </c>
      <c r="AP16">
        <f t="shared" si="25"/>
        <v>44.000000000000007</v>
      </c>
      <c r="AQ16" s="471">
        <f t="shared" si="26"/>
        <v>152.59611573523588</v>
      </c>
      <c r="AR16" s="471"/>
      <c r="AS16" s="5">
        <f t="shared" si="51"/>
        <v>6.5532467532467509</v>
      </c>
      <c r="AT16" s="5">
        <f t="shared" si="27"/>
        <v>1.0149999999999999</v>
      </c>
      <c r="AU16" s="5">
        <f t="shared" si="52"/>
        <v>5.5382467532467512</v>
      </c>
      <c r="AV16" s="5">
        <f t="shared" si="28"/>
        <v>0.99428571428571422</v>
      </c>
      <c r="AW16" s="178">
        <f t="shared" si="53"/>
        <v>0.15488505747126441</v>
      </c>
      <c r="AX16" s="178">
        <f t="shared" si="29"/>
        <v>0.53900000000000015</v>
      </c>
      <c r="AY16" s="178">
        <f t="shared" si="30"/>
        <v>0.24508333333333332</v>
      </c>
      <c r="AZ16" s="178">
        <f t="shared" si="54"/>
        <v>2.1992519551173078</v>
      </c>
      <c r="BA16" s="471">
        <f t="shared" si="31"/>
        <v>0.37216666666666665</v>
      </c>
      <c r="BB16" s="5">
        <f t="shared" si="32"/>
        <v>0.10687844611528818</v>
      </c>
      <c r="BC16" s="5"/>
      <c r="BD16" s="178">
        <f t="shared" si="55"/>
        <v>6.5893432483400391E-2</v>
      </c>
      <c r="BE16" s="178">
        <f t="shared" si="33"/>
        <v>0.3078401461076114</v>
      </c>
      <c r="BF16" s="178"/>
      <c r="BG16" s="545">
        <f t="shared" si="34"/>
        <v>1.519680555555556E-3</v>
      </c>
      <c r="BH16" s="545">
        <f t="shared" si="35"/>
        <v>1.6096982758620693E-2</v>
      </c>
      <c r="BI16" s="545">
        <f t="shared" si="36"/>
        <v>1.9074514466904486E-3</v>
      </c>
      <c r="BJ16" s="545">
        <f t="shared" si="37"/>
        <v>1.7947210661910431E-2</v>
      </c>
      <c r="BK16">
        <f t="shared" si="38"/>
        <v>6.96E-3</v>
      </c>
      <c r="BL16" s="545">
        <f t="shared" si="39"/>
        <v>4.4454733921455519E-2</v>
      </c>
      <c r="BM16" s="471">
        <f t="shared" si="56"/>
        <v>44.454733921455521</v>
      </c>
      <c r="BN16" s="545">
        <f t="shared" si="40"/>
        <v>1.3200000000000002E-2</v>
      </c>
      <c r="BO16" s="545"/>
      <c r="BQ16" s="471">
        <f t="shared" si="57"/>
        <v>13.200000000000001</v>
      </c>
      <c r="BR16" s="545">
        <f t="shared" si="41"/>
        <v>4.1248472222222236E-4</v>
      </c>
      <c r="BS16" s="545">
        <f t="shared" si="42"/>
        <v>8.5288999999999972E-3</v>
      </c>
      <c r="BT16" s="545">
        <f t="shared" si="43"/>
        <v>6.5136391680845626E-4</v>
      </c>
      <c r="BU16" s="545">
        <f t="shared" si="44"/>
        <v>9.5996153473511571E-3</v>
      </c>
      <c r="BV16" s="545">
        <f t="shared" si="45"/>
        <v>2.8875000000000012E-3</v>
      </c>
      <c r="BW16" s="471">
        <f t="shared" si="58"/>
        <v>12.487115347351159</v>
      </c>
      <c r="BX16" s="178">
        <f t="shared" si="59"/>
        <v>7.0141849268806677E-2</v>
      </c>
      <c r="BY16" s="5">
        <f t="shared" si="60"/>
        <v>0.52800000000000002</v>
      </c>
      <c r="BZ16" s="178">
        <f t="shared" si="61"/>
        <v>0.88273375395058729</v>
      </c>
      <c r="CA16" s="5">
        <f t="shared" si="62"/>
        <v>88.273375395058736</v>
      </c>
      <c r="CD16" s="580">
        <f t="shared" si="46"/>
        <v>-50</v>
      </c>
      <c r="CE16">
        <f t="shared" si="47"/>
        <v>-50</v>
      </c>
    </row>
    <row r="17" spans="5:83" x14ac:dyDescent="0.2">
      <c r="E17" s="175">
        <v>12</v>
      </c>
      <c r="F17" s="222">
        <f t="shared" si="48"/>
        <v>4.8000000000000001E-2</v>
      </c>
      <c r="G17" s="222"/>
      <c r="H17" s="222">
        <f t="shared" si="0"/>
        <v>0.57600000000000007</v>
      </c>
      <c r="I17" s="558">
        <f t="shared" si="1"/>
        <v>24</v>
      </c>
      <c r="J17" s="177">
        <f t="shared" si="2"/>
        <v>24.5</v>
      </c>
      <c r="K17" s="453">
        <f t="shared" si="3"/>
        <v>48.5</v>
      </c>
      <c r="L17" s="453"/>
      <c r="M17" s="222">
        <f t="shared" si="4"/>
        <v>0.50515463917525771</v>
      </c>
      <c r="N17" s="177">
        <f t="shared" si="5"/>
        <v>8.3502061855670089</v>
      </c>
      <c r="O17" s="177">
        <f t="shared" si="49"/>
        <v>0.57600000000000007</v>
      </c>
      <c r="P17" s="222">
        <f t="shared" si="6"/>
        <v>0.69585051546391741</v>
      </c>
      <c r="Q17" s="222">
        <f t="shared" si="7"/>
        <v>12</v>
      </c>
      <c r="R17" s="222">
        <f t="shared" si="8"/>
        <v>0.73247422680412366</v>
      </c>
      <c r="S17" s="177">
        <f t="shared" si="9"/>
        <v>332.38401892118463</v>
      </c>
      <c r="T17" s="177">
        <f t="shared" si="10"/>
        <v>12</v>
      </c>
      <c r="U17" s="222">
        <f t="shared" si="11"/>
        <v>0.1000214822771214</v>
      </c>
      <c r="V17" s="222">
        <f t="shared" si="12"/>
        <v>0.35007518796992487</v>
      </c>
      <c r="W17" s="222">
        <f t="shared" si="13"/>
        <v>0.34293079637870189</v>
      </c>
      <c r="X17" s="202">
        <f t="shared" si="14"/>
        <v>350</v>
      </c>
      <c r="Y17" s="453">
        <f t="shared" si="50"/>
        <v>350</v>
      </c>
      <c r="AA17" s="222">
        <f t="shared" si="15"/>
        <v>0.41237113402061859</v>
      </c>
      <c r="AB17" s="178">
        <f t="shared" si="16"/>
        <v>1.4138438880706923</v>
      </c>
      <c r="AC17" s="178">
        <f t="shared" si="17"/>
        <v>0.20405994260814117</v>
      </c>
      <c r="AD17" s="178"/>
      <c r="AE17" s="178">
        <f t="shared" si="18"/>
        <v>0.99428571428571422</v>
      </c>
      <c r="AF17" s="563">
        <f t="shared" si="63"/>
        <v>166.46848989298459</v>
      </c>
      <c r="AG17" s="545">
        <f t="shared" si="19"/>
        <v>0.10091999999999998</v>
      </c>
      <c r="AI17" s="178">
        <f t="shared" si="20"/>
        <v>0.20519567041703082</v>
      </c>
      <c r="AJ17" s="178">
        <f t="shared" si="21"/>
        <v>0.28999999999999998</v>
      </c>
      <c r="AK17" s="178">
        <f t="shared" si="22"/>
        <v>1.0951248513674197</v>
      </c>
      <c r="AM17" s="562">
        <f t="shared" si="23"/>
        <v>48</v>
      </c>
      <c r="AN17" s="471">
        <f t="shared" si="24"/>
        <v>166.46848989298459</v>
      </c>
      <c r="AP17">
        <f t="shared" si="25"/>
        <v>48</v>
      </c>
      <c r="AQ17" s="471">
        <f t="shared" si="26"/>
        <v>166.46848989298459</v>
      </c>
      <c r="AR17" s="471"/>
      <c r="AS17" s="5">
        <f t="shared" si="51"/>
        <v>6.0071428571428553</v>
      </c>
      <c r="AT17" s="5">
        <f t="shared" si="27"/>
        <v>1.0149999999999999</v>
      </c>
      <c r="AU17" s="5">
        <f t="shared" si="52"/>
        <v>4.9921428571428557</v>
      </c>
      <c r="AV17" s="5">
        <f t="shared" si="28"/>
        <v>0.99428571428571422</v>
      </c>
      <c r="AW17" s="178">
        <f t="shared" si="53"/>
        <v>0.16896551724137934</v>
      </c>
      <c r="AX17" s="178">
        <f t="shared" si="29"/>
        <v>0.58800000000000008</v>
      </c>
      <c r="AY17" s="178">
        <f t="shared" si="30"/>
        <v>0.24099999999999999</v>
      </c>
      <c r="AZ17" s="178">
        <f t="shared" si="54"/>
        <v>2.4398340248962658</v>
      </c>
      <c r="BA17" s="471">
        <f t="shared" si="31"/>
        <v>0.40600000000000003</v>
      </c>
      <c r="BB17" s="5">
        <f t="shared" si="32"/>
        <v>0.10509774436090225</v>
      </c>
      <c r="BC17" s="5"/>
      <c r="BD17" s="178">
        <f t="shared" si="55"/>
        <v>6.8823445617512261E-2</v>
      </c>
      <c r="BE17" s="178">
        <f t="shared" si="33"/>
        <v>0.30526491227566044</v>
      </c>
      <c r="BF17" s="178"/>
      <c r="BG17" s="545">
        <f t="shared" si="34"/>
        <v>1.6578333333333336E-3</v>
      </c>
      <c r="BH17" s="545">
        <f t="shared" si="35"/>
        <v>1.756034482758621E-2</v>
      </c>
      <c r="BI17" s="545">
        <f t="shared" si="36"/>
        <v>2.0808561236623072E-3</v>
      </c>
      <c r="BJ17" s="545">
        <f t="shared" si="37"/>
        <v>1.9578775267538651E-2</v>
      </c>
      <c r="BK17">
        <f t="shared" si="38"/>
        <v>6.96E-3</v>
      </c>
      <c r="BL17" s="545">
        <f t="shared" si="39"/>
        <v>4.7865305262176333E-2</v>
      </c>
      <c r="BM17" s="471">
        <f t="shared" si="56"/>
        <v>47.865305262176335</v>
      </c>
      <c r="BN17" s="545">
        <f t="shared" si="40"/>
        <v>1.44E-2</v>
      </c>
      <c r="BO17" s="545"/>
      <c r="BQ17" s="471">
        <f t="shared" si="57"/>
        <v>14.4</v>
      </c>
      <c r="BR17" s="545">
        <f t="shared" si="41"/>
        <v>4.4998333333333342E-4</v>
      </c>
      <c r="BS17" s="545">
        <f t="shared" si="42"/>
        <v>8.3867999999999998E-3</v>
      </c>
      <c r="BT17" s="545">
        <f t="shared" si="43"/>
        <v>8.0964585862551488E-4</v>
      </c>
      <c r="BU17" s="545">
        <f t="shared" si="44"/>
        <v>9.6532534887221761E-3</v>
      </c>
      <c r="BV17" s="545">
        <f t="shared" si="45"/>
        <v>3.1500000000000009E-3</v>
      </c>
      <c r="BW17" s="471">
        <f t="shared" si="58"/>
        <v>12.803253488722177</v>
      </c>
      <c r="BX17" s="178">
        <f t="shared" si="59"/>
        <v>7.5068558750898504E-2</v>
      </c>
      <c r="BY17" s="5">
        <f t="shared" si="60"/>
        <v>0.57600000000000007</v>
      </c>
      <c r="BZ17" s="178">
        <f t="shared" si="61"/>
        <v>0.88469945639070557</v>
      </c>
      <c r="CA17" s="5">
        <f t="shared" si="62"/>
        <v>88.469945639070559</v>
      </c>
      <c r="CD17" s="580">
        <f t="shared" si="46"/>
        <v>-50</v>
      </c>
      <c r="CE17">
        <f t="shared" si="47"/>
        <v>-50</v>
      </c>
    </row>
    <row r="18" spans="5:83" x14ac:dyDescent="0.2">
      <c r="E18" s="175">
        <v>13</v>
      </c>
      <c r="F18" s="222">
        <f t="shared" si="48"/>
        <v>5.2000000000000005E-2</v>
      </c>
      <c r="G18" s="222"/>
      <c r="H18" s="222">
        <f t="shared" si="0"/>
        <v>0.62400000000000011</v>
      </c>
      <c r="I18" s="558">
        <f t="shared" si="1"/>
        <v>24</v>
      </c>
      <c r="J18" s="177">
        <f t="shared" si="2"/>
        <v>24.5</v>
      </c>
      <c r="K18" s="453">
        <f t="shared" si="3"/>
        <v>48.5</v>
      </c>
      <c r="L18" s="453"/>
      <c r="M18" s="222">
        <f t="shared" si="4"/>
        <v>0.50515463917525771</v>
      </c>
      <c r="N18" s="177">
        <f t="shared" si="5"/>
        <v>8.3502061855670089</v>
      </c>
      <c r="O18" s="177">
        <f t="shared" si="49"/>
        <v>0.62400000000000011</v>
      </c>
      <c r="P18" s="222">
        <f t="shared" si="6"/>
        <v>0.69585051546391741</v>
      </c>
      <c r="Q18" s="222">
        <f t="shared" si="7"/>
        <v>12</v>
      </c>
      <c r="R18" s="222">
        <f t="shared" si="8"/>
        <v>0.73247422680412366</v>
      </c>
      <c r="S18" s="177">
        <f t="shared" si="9"/>
        <v>305.89441468147044</v>
      </c>
      <c r="T18" s="177">
        <f t="shared" si="10"/>
        <v>12</v>
      </c>
      <c r="U18" s="222">
        <f t="shared" si="11"/>
        <v>0.10835660580021486</v>
      </c>
      <c r="V18" s="222">
        <f t="shared" si="12"/>
        <v>0.379248120300752</v>
      </c>
      <c r="W18" s="222">
        <f t="shared" si="13"/>
        <v>0.37150836274359383</v>
      </c>
      <c r="X18" s="202">
        <f t="shared" si="14"/>
        <v>350</v>
      </c>
      <c r="Y18" s="453">
        <f t="shared" si="50"/>
        <v>350</v>
      </c>
      <c r="AA18" s="222">
        <f t="shared" si="15"/>
        <v>0.41237113402061859</v>
      </c>
      <c r="AB18" s="178">
        <f t="shared" si="16"/>
        <v>1.4138438880706923</v>
      </c>
      <c r="AC18" s="178">
        <f t="shared" si="17"/>
        <v>0.20405994260814117</v>
      </c>
      <c r="AD18" s="178"/>
      <c r="AE18" s="178">
        <f t="shared" si="18"/>
        <v>0.99428571428571422</v>
      </c>
      <c r="AF18" s="562">
        <f t="shared" si="63"/>
        <v>180.3408640507333</v>
      </c>
      <c r="AG18" s="545">
        <f t="shared" si="19"/>
        <v>0.10091999999999998</v>
      </c>
      <c r="AI18" s="178">
        <f t="shared" si="20"/>
        <v>0.21357442517239583</v>
      </c>
      <c r="AJ18" s="178">
        <f t="shared" si="21"/>
        <v>0.28999999999999998</v>
      </c>
      <c r="AK18" s="178">
        <f t="shared" si="22"/>
        <v>1.1030519223147048</v>
      </c>
      <c r="AM18" s="562">
        <f t="shared" si="23"/>
        <v>52.000000000000007</v>
      </c>
      <c r="AN18" s="471">
        <f t="shared" si="24"/>
        <v>180.3408640507333</v>
      </c>
      <c r="AP18">
        <f t="shared" si="25"/>
        <v>52.000000000000007</v>
      </c>
      <c r="AQ18" s="471">
        <f t="shared" si="26"/>
        <v>180.3408640507333</v>
      </c>
      <c r="AR18" s="471"/>
      <c r="AS18" s="5">
        <f t="shared" si="51"/>
        <v>5.545054945054944</v>
      </c>
      <c r="AT18" s="5">
        <f t="shared" si="27"/>
        <v>1.0149999999999999</v>
      </c>
      <c r="AU18" s="5">
        <f t="shared" si="52"/>
        <v>4.5300549450549443</v>
      </c>
      <c r="AV18" s="5">
        <f t="shared" si="28"/>
        <v>0.99428571428571422</v>
      </c>
      <c r="AW18" s="178">
        <f t="shared" si="53"/>
        <v>0.18304597701149428</v>
      </c>
      <c r="AX18" s="178">
        <f t="shared" si="29"/>
        <v>0.63700000000000012</v>
      </c>
      <c r="AY18" s="178">
        <f t="shared" si="30"/>
        <v>0.23691666666666664</v>
      </c>
      <c r="AZ18" s="178">
        <f t="shared" si="54"/>
        <v>2.6887091100949712</v>
      </c>
      <c r="BA18" s="471">
        <f t="shared" si="31"/>
        <v>0.43983333333333335</v>
      </c>
      <c r="BB18" s="5">
        <f t="shared" si="32"/>
        <v>0.10331704260651628</v>
      </c>
      <c r="BC18" s="5"/>
      <c r="BD18" s="178">
        <f t="shared" si="55"/>
        <v>7.163371335404084E-2</v>
      </c>
      <c r="BE18" s="178">
        <f t="shared" si="33"/>
        <v>0.30266776798624884</v>
      </c>
      <c r="BF18" s="178"/>
      <c r="BG18" s="545">
        <f t="shared" si="34"/>
        <v>1.795986111111111E-3</v>
      </c>
      <c r="BH18" s="545">
        <f t="shared" si="35"/>
        <v>1.9023706896551727E-2</v>
      </c>
      <c r="BI18" s="545">
        <f t="shared" si="36"/>
        <v>2.2542608006341663E-3</v>
      </c>
      <c r="BJ18" s="545">
        <f t="shared" si="37"/>
        <v>2.121033987316687E-2</v>
      </c>
      <c r="BK18">
        <f t="shared" si="38"/>
        <v>6.96E-3</v>
      </c>
      <c r="BL18" s="545">
        <f t="shared" si="39"/>
        <v>5.1276203333898679E-2</v>
      </c>
      <c r="BM18" s="471">
        <f t="shared" si="56"/>
        <v>51.276203333898678</v>
      </c>
      <c r="BN18" s="545">
        <f t="shared" si="40"/>
        <v>1.5600000000000001E-2</v>
      </c>
      <c r="BO18" s="545"/>
      <c r="BQ18" s="471">
        <f t="shared" si="57"/>
        <v>15.600000000000001</v>
      </c>
      <c r="BR18" s="545">
        <f t="shared" si="41"/>
        <v>4.8748194444444448E-4</v>
      </c>
      <c r="BS18" s="545">
        <f t="shared" si="42"/>
        <v>8.2446999999999989E-3</v>
      </c>
      <c r="BT18" s="545">
        <f t="shared" si="43"/>
        <v>9.8900927493427446E-4</v>
      </c>
      <c r="BU18" s="545">
        <f t="shared" si="44"/>
        <v>9.7279869435342465E-3</v>
      </c>
      <c r="BV18" s="545">
        <f t="shared" si="45"/>
        <v>3.4125000000000006E-3</v>
      </c>
      <c r="BW18" s="471">
        <f t="shared" si="58"/>
        <v>13.140486943534247</v>
      </c>
      <c r="BX18" s="178">
        <f t="shared" si="59"/>
        <v>8.0016690277432925E-2</v>
      </c>
      <c r="BY18" s="5">
        <f t="shared" si="60"/>
        <v>0.62400000000000011</v>
      </c>
      <c r="BZ18" s="178">
        <f t="shared" si="61"/>
        <v>0.88634262314732815</v>
      </c>
      <c r="CA18" s="5">
        <f t="shared" si="62"/>
        <v>88.634262314732808</v>
      </c>
      <c r="CD18" s="580">
        <f t="shared" si="46"/>
        <v>-50</v>
      </c>
      <c r="CE18">
        <f t="shared" si="47"/>
        <v>-50</v>
      </c>
    </row>
    <row r="19" spans="5:83" x14ac:dyDescent="0.2">
      <c r="E19" s="175">
        <v>14</v>
      </c>
      <c r="F19" s="222">
        <f t="shared" si="48"/>
        <v>5.6000000000000008E-2</v>
      </c>
      <c r="G19" s="222"/>
      <c r="H19" s="222">
        <f t="shared" si="0"/>
        <v>0.67200000000000015</v>
      </c>
      <c r="I19" s="558">
        <f t="shared" si="1"/>
        <v>24</v>
      </c>
      <c r="J19" s="177">
        <f t="shared" si="2"/>
        <v>24.5</v>
      </c>
      <c r="K19" s="453">
        <f t="shared" si="3"/>
        <v>48.5</v>
      </c>
      <c r="L19" s="453"/>
      <c r="M19" s="222">
        <f t="shared" si="4"/>
        <v>0.50515463917525771</v>
      </c>
      <c r="N19" s="177">
        <f t="shared" si="5"/>
        <v>8.3502061855670089</v>
      </c>
      <c r="O19" s="177">
        <f t="shared" si="49"/>
        <v>0.67200000000000015</v>
      </c>
      <c r="P19" s="222">
        <f t="shared" si="6"/>
        <v>0.69585051546391741</v>
      </c>
      <c r="Q19" s="222">
        <f t="shared" si="7"/>
        <v>12</v>
      </c>
      <c r="R19" s="222">
        <f t="shared" si="8"/>
        <v>0.73247422680412366</v>
      </c>
      <c r="S19" s="177">
        <f t="shared" si="9"/>
        <v>283.18915571073404</v>
      </c>
      <c r="T19" s="177">
        <f t="shared" si="10"/>
        <v>12</v>
      </c>
      <c r="U19" s="222">
        <f t="shared" si="11"/>
        <v>0.11669172932330832</v>
      </c>
      <c r="V19" s="222">
        <f t="shared" si="12"/>
        <v>0.40842105263157907</v>
      </c>
      <c r="W19" s="222">
        <f t="shared" si="13"/>
        <v>0.40008592910848562</v>
      </c>
      <c r="X19" s="202">
        <f t="shared" si="14"/>
        <v>350</v>
      </c>
      <c r="Y19" s="453">
        <f t="shared" si="50"/>
        <v>350</v>
      </c>
      <c r="AA19" s="222">
        <f t="shared" si="15"/>
        <v>0.41237113402061859</v>
      </c>
      <c r="AB19" s="178">
        <f t="shared" si="16"/>
        <v>1.4138438880706923</v>
      </c>
      <c r="AC19" s="178">
        <f t="shared" si="17"/>
        <v>0.20405994260814117</v>
      </c>
      <c r="AD19" s="178"/>
      <c r="AE19" s="178">
        <f t="shared" si="18"/>
        <v>0.99428571428571422</v>
      </c>
      <c r="AF19" s="562">
        <f t="shared" si="63"/>
        <v>194.21323820848204</v>
      </c>
      <c r="AG19" s="545">
        <f t="shared" si="19"/>
        <v>0.10091999999999998</v>
      </c>
      <c r="AI19" s="178">
        <f t="shared" si="20"/>
        <v>0.22163665540145627</v>
      </c>
      <c r="AJ19" s="178">
        <f t="shared" si="21"/>
        <v>0.28999999999999998</v>
      </c>
      <c r="AK19" s="178">
        <f t="shared" si="22"/>
        <v>1.1109789932619898</v>
      </c>
      <c r="AM19" s="562">
        <f t="shared" si="23"/>
        <v>56.000000000000007</v>
      </c>
      <c r="AN19" s="471">
        <f t="shared" si="24"/>
        <v>194.21323820848204</v>
      </c>
      <c r="AP19">
        <f t="shared" si="25"/>
        <v>56.000000000000007</v>
      </c>
      <c r="AQ19" s="471">
        <f t="shared" si="26"/>
        <v>194.21323820848204</v>
      </c>
      <c r="AR19" s="471"/>
      <c r="AS19" s="5">
        <f t="shared" si="51"/>
        <v>5.1489795918367331</v>
      </c>
      <c r="AT19" s="5">
        <f t="shared" si="27"/>
        <v>1.0149999999999999</v>
      </c>
      <c r="AU19" s="5">
        <f t="shared" si="52"/>
        <v>4.1339795918367335</v>
      </c>
      <c r="AV19" s="5">
        <f t="shared" si="28"/>
        <v>0.99428571428571422</v>
      </c>
      <c r="AW19" s="178">
        <f t="shared" si="53"/>
        <v>0.19712643678160924</v>
      </c>
      <c r="AX19" s="178">
        <f t="shared" si="29"/>
        <v>0.68600000000000017</v>
      </c>
      <c r="AY19" s="178">
        <f t="shared" si="30"/>
        <v>0.23283333333333331</v>
      </c>
      <c r="AZ19" s="178">
        <f t="shared" si="54"/>
        <v>2.9463135289906952</v>
      </c>
      <c r="BA19" s="471">
        <f t="shared" si="31"/>
        <v>0.47366666666666668</v>
      </c>
      <c r="BB19" s="5">
        <f t="shared" si="32"/>
        <v>0.1015363408521303</v>
      </c>
      <c r="BC19" s="5"/>
      <c r="BD19" s="178">
        <f t="shared" si="55"/>
        <v>7.4337817503011966E-2</v>
      </c>
      <c r="BE19" s="178">
        <f t="shared" si="33"/>
        <v>0.30004814428502785</v>
      </c>
      <c r="BF19" s="178"/>
      <c r="BG19" s="545">
        <f t="shared" si="34"/>
        <v>1.9341388888888891E-3</v>
      </c>
      <c r="BH19" s="545">
        <f t="shared" si="35"/>
        <v>2.0487068965517247E-2</v>
      </c>
      <c r="BI19" s="545">
        <f t="shared" si="36"/>
        <v>2.4276654776060253E-3</v>
      </c>
      <c r="BJ19" s="545">
        <f t="shared" si="37"/>
        <v>2.2841904478795094E-2</v>
      </c>
      <c r="BK19">
        <f t="shared" si="38"/>
        <v>6.96E-3</v>
      </c>
      <c r="BL19" s="545">
        <f t="shared" si="39"/>
        <v>5.4687428183575824E-2</v>
      </c>
      <c r="BM19" s="471">
        <f t="shared" si="56"/>
        <v>54.687428183575825</v>
      </c>
      <c r="BN19" s="545">
        <f t="shared" si="40"/>
        <v>1.6800000000000002E-2</v>
      </c>
      <c r="BO19" s="545"/>
      <c r="BQ19" s="471">
        <f t="shared" si="57"/>
        <v>16.8</v>
      </c>
      <c r="BR19" s="545">
        <f t="shared" si="41"/>
        <v>5.2498055555555564E-4</v>
      </c>
      <c r="BS19" s="545">
        <f t="shared" si="42"/>
        <v>8.1025999999999997E-3</v>
      </c>
      <c r="BT19" s="545">
        <f t="shared" si="43"/>
        <v>1.1903154560060022E-3</v>
      </c>
      <c r="BU19" s="545">
        <f t="shared" si="44"/>
        <v>9.8246770669877786E-3</v>
      </c>
      <c r="BV19" s="545">
        <f t="shared" si="45"/>
        <v>3.6750000000000012E-3</v>
      </c>
      <c r="BW19" s="471">
        <f t="shared" si="58"/>
        <v>13.499677066987779</v>
      </c>
      <c r="BX19" s="178">
        <f t="shared" si="59"/>
        <v>8.4987105250563605E-2</v>
      </c>
      <c r="BY19" s="5">
        <f t="shared" si="60"/>
        <v>0.67200000000000015</v>
      </c>
      <c r="BZ19" s="178">
        <f t="shared" si="61"/>
        <v>0.88772978474655417</v>
      </c>
      <c r="CA19" s="5">
        <f t="shared" si="62"/>
        <v>88.772978474655417</v>
      </c>
      <c r="CD19" s="580">
        <f t="shared" si="46"/>
        <v>-50</v>
      </c>
      <c r="CE19">
        <f t="shared" si="47"/>
        <v>-50</v>
      </c>
    </row>
    <row r="20" spans="5:83" x14ac:dyDescent="0.2">
      <c r="E20" s="175">
        <v>15</v>
      </c>
      <c r="F20" s="222">
        <f t="shared" si="48"/>
        <v>0.06</v>
      </c>
      <c r="G20" s="222"/>
      <c r="H20" s="222">
        <f t="shared" si="0"/>
        <v>0.72</v>
      </c>
      <c r="I20" s="558">
        <f t="shared" si="1"/>
        <v>24</v>
      </c>
      <c r="J20" s="177">
        <f t="shared" si="2"/>
        <v>24.5</v>
      </c>
      <c r="K20" s="453">
        <f t="shared" si="3"/>
        <v>48.5</v>
      </c>
      <c r="L20" s="453"/>
      <c r="M20" s="222">
        <f t="shared" si="4"/>
        <v>0.50515463917525771</v>
      </c>
      <c r="N20" s="177">
        <f t="shared" si="5"/>
        <v>8.3502061855670089</v>
      </c>
      <c r="O20" s="177">
        <f t="shared" si="49"/>
        <v>0.72</v>
      </c>
      <c r="P20" s="222">
        <f t="shared" si="6"/>
        <v>0.69585051546391741</v>
      </c>
      <c r="Q20" s="222">
        <f t="shared" si="7"/>
        <v>12</v>
      </c>
      <c r="R20" s="222">
        <f t="shared" si="8"/>
        <v>0.73247422680412366</v>
      </c>
      <c r="S20" s="177">
        <f t="shared" si="9"/>
        <v>263.51137391709574</v>
      </c>
      <c r="T20" s="177">
        <f t="shared" si="10"/>
        <v>12</v>
      </c>
      <c r="U20" s="222">
        <f t="shared" si="11"/>
        <v>0.12502685284640172</v>
      </c>
      <c r="V20" s="222">
        <f t="shared" si="12"/>
        <v>0.43759398496240604</v>
      </c>
      <c r="W20" s="222">
        <f t="shared" si="13"/>
        <v>0.42866349547337734</v>
      </c>
      <c r="X20" s="202">
        <f t="shared" si="14"/>
        <v>350</v>
      </c>
      <c r="Y20" s="453">
        <f t="shared" si="50"/>
        <v>350</v>
      </c>
      <c r="AA20" s="222">
        <f t="shared" si="15"/>
        <v>0.41237113402061859</v>
      </c>
      <c r="AB20" s="178">
        <f t="shared" si="16"/>
        <v>1.4138438880706923</v>
      </c>
      <c r="AC20" s="178">
        <f t="shared" si="17"/>
        <v>0.20405994260814117</v>
      </c>
      <c r="AD20" s="178"/>
      <c r="AE20" s="178">
        <f t="shared" si="18"/>
        <v>0.99428571428571422</v>
      </c>
      <c r="AF20" s="562">
        <f t="shared" si="63"/>
        <v>208.08561236623072</v>
      </c>
      <c r="AG20" s="545">
        <f t="shared" si="19"/>
        <v>0.10091999999999998</v>
      </c>
      <c r="AI20" s="178">
        <f t="shared" si="20"/>
        <v>0.22941573387056177</v>
      </c>
      <c r="AJ20" s="178">
        <f t="shared" si="21"/>
        <v>0.28999999999999998</v>
      </c>
      <c r="AK20" s="178">
        <f t="shared" si="22"/>
        <v>1.1189060642092747</v>
      </c>
      <c r="AM20" s="562">
        <f t="shared" si="23"/>
        <v>60</v>
      </c>
      <c r="AN20" s="471">
        <f t="shared" si="24"/>
        <v>208.08561236623072</v>
      </c>
      <c r="AP20">
        <f t="shared" si="25"/>
        <v>60</v>
      </c>
      <c r="AQ20" s="471">
        <f t="shared" si="26"/>
        <v>208.08561236623072</v>
      </c>
      <c r="AR20" s="471"/>
      <c r="AS20" s="5">
        <f t="shared" si="51"/>
        <v>4.8057142857142843</v>
      </c>
      <c r="AT20" s="5">
        <f t="shared" si="27"/>
        <v>1.0149999999999999</v>
      </c>
      <c r="AU20" s="5">
        <f t="shared" si="52"/>
        <v>3.7907142857142846</v>
      </c>
      <c r="AV20" s="5">
        <f t="shared" si="28"/>
        <v>0.99428571428571422</v>
      </c>
      <c r="AW20" s="178">
        <f t="shared" si="53"/>
        <v>0.21120689655172417</v>
      </c>
      <c r="AX20" s="178">
        <f t="shared" si="29"/>
        <v>0.73499999999999999</v>
      </c>
      <c r="AY20" s="178">
        <f t="shared" si="30"/>
        <v>0.22874999999999995</v>
      </c>
      <c r="AZ20" s="178">
        <f t="shared" si="54"/>
        <v>3.2131147540983611</v>
      </c>
      <c r="BA20" s="471">
        <f t="shared" si="31"/>
        <v>0.50749999999999995</v>
      </c>
      <c r="BB20" s="5">
        <f t="shared" si="32"/>
        <v>9.975563909774432E-2</v>
      </c>
      <c r="BC20" s="5"/>
      <c r="BD20" s="178">
        <f t="shared" si="55"/>
        <v>7.6946951423258692E-2</v>
      </c>
      <c r="BE20" s="178">
        <f t="shared" si="33"/>
        <v>0.29740544715926104</v>
      </c>
      <c r="BF20" s="178"/>
      <c r="BG20" s="545">
        <f t="shared" si="34"/>
        <v>2.0722916666666663E-3</v>
      </c>
      <c r="BH20" s="545">
        <f t="shared" si="35"/>
        <v>2.195043103448276E-2</v>
      </c>
      <c r="BI20" s="545">
        <f t="shared" si="36"/>
        <v>2.6010701545778839E-3</v>
      </c>
      <c r="BJ20" s="545">
        <f t="shared" si="37"/>
        <v>2.4473469084423313E-2</v>
      </c>
      <c r="BK20">
        <f t="shared" si="38"/>
        <v>6.96E-3</v>
      </c>
      <c r="BL20" s="545">
        <f t="shared" si="39"/>
        <v>5.8098979858169988E-2</v>
      </c>
      <c r="BM20" s="471">
        <f t="shared" si="56"/>
        <v>58.09897985816999</v>
      </c>
      <c r="BN20" s="545">
        <f t="shared" si="40"/>
        <v>1.7999999999999999E-2</v>
      </c>
      <c r="BO20" s="545"/>
      <c r="BQ20" s="471">
        <f t="shared" si="57"/>
        <v>18</v>
      </c>
      <c r="BR20" s="545">
        <f t="shared" si="41"/>
        <v>5.6247916666666664E-4</v>
      </c>
      <c r="BS20" s="545">
        <f t="shared" si="42"/>
        <v>7.9605000000000006E-3</v>
      </c>
      <c r="BT20" s="545">
        <f t="shared" si="43"/>
        <v>1.414393107490496E-3</v>
      </c>
      <c r="BU20" s="545">
        <f t="shared" si="44"/>
        <v>9.9441525785777529E-3</v>
      </c>
      <c r="BV20" s="545">
        <f t="shared" si="45"/>
        <v>3.9375000000000009E-3</v>
      </c>
      <c r="BW20" s="471">
        <f t="shared" si="58"/>
        <v>13.881652578577754</v>
      </c>
      <c r="BX20" s="178">
        <f t="shared" si="59"/>
        <v>8.998063243674774E-2</v>
      </c>
      <c r="BY20" s="5">
        <f t="shared" si="60"/>
        <v>0.72</v>
      </c>
      <c r="BZ20" s="178">
        <f t="shared" si="61"/>
        <v>0.88891014323879602</v>
      </c>
      <c r="CA20" s="5">
        <f t="shared" si="62"/>
        <v>88.891014323879602</v>
      </c>
      <c r="CD20" s="580">
        <f t="shared" si="46"/>
        <v>-50</v>
      </c>
      <c r="CE20">
        <f t="shared" si="47"/>
        <v>-50</v>
      </c>
    </row>
    <row r="21" spans="5:83" s="77" customFormat="1" x14ac:dyDescent="0.2">
      <c r="E21" s="194">
        <v>16</v>
      </c>
      <c r="F21" s="334">
        <f t="shared" si="48"/>
        <v>6.4000000000000001E-2</v>
      </c>
      <c r="G21" s="222"/>
      <c r="H21" s="222">
        <f t="shared" si="0"/>
        <v>0.76800000000000002</v>
      </c>
      <c r="I21" s="558">
        <f t="shared" si="1"/>
        <v>24</v>
      </c>
      <c r="J21" s="177">
        <f t="shared" si="2"/>
        <v>24.5</v>
      </c>
      <c r="K21" s="552">
        <f t="shared" si="3"/>
        <v>48.5</v>
      </c>
      <c r="L21" s="552"/>
      <c r="M21" s="334">
        <f t="shared" si="4"/>
        <v>0.50515463917525771</v>
      </c>
      <c r="N21" s="177">
        <f t="shared" si="5"/>
        <v>8.3502061855670089</v>
      </c>
      <c r="O21" s="177">
        <f t="shared" si="49"/>
        <v>0.76800000000000002</v>
      </c>
      <c r="P21" s="334">
        <f t="shared" si="6"/>
        <v>0.69585051546391741</v>
      </c>
      <c r="Q21" s="222">
        <f t="shared" si="7"/>
        <v>12</v>
      </c>
      <c r="R21" s="222">
        <f t="shared" si="8"/>
        <v>0.73247422680412366</v>
      </c>
      <c r="S21" s="177">
        <f t="shared" si="9"/>
        <v>246.29341824209462</v>
      </c>
      <c r="T21" s="177">
        <f t="shared" si="10"/>
        <v>12</v>
      </c>
      <c r="U21" s="222">
        <f t="shared" si="11"/>
        <v>0.13336197636949518</v>
      </c>
      <c r="V21" s="334">
        <f t="shared" si="12"/>
        <v>0.46676691729323311</v>
      </c>
      <c r="W21" s="222">
        <f t="shared" si="13"/>
        <v>0.45724106183826912</v>
      </c>
      <c r="X21" s="554">
        <f t="shared" si="14"/>
        <v>350</v>
      </c>
      <c r="Y21" s="552">
        <f t="shared" si="50"/>
        <v>350</v>
      </c>
      <c r="AA21" s="334">
        <f t="shared" si="15"/>
        <v>0.41237113402061859</v>
      </c>
      <c r="AB21" s="178">
        <f t="shared" si="16"/>
        <v>1.4138438880706923</v>
      </c>
      <c r="AC21" s="555">
        <f t="shared" si="17"/>
        <v>0.20405994260814117</v>
      </c>
      <c r="AD21" s="555"/>
      <c r="AE21" s="178">
        <f t="shared" si="18"/>
        <v>0.99428571428571422</v>
      </c>
      <c r="AF21" s="562">
        <f t="shared" si="63"/>
        <v>221.95798652397946</v>
      </c>
      <c r="AG21" s="545">
        <f t="shared" si="19"/>
        <v>0.10091999999999998</v>
      </c>
      <c r="AH21"/>
      <c r="AI21" s="178">
        <f t="shared" si="20"/>
        <v>0.23693955110363696</v>
      </c>
      <c r="AJ21" s="178">
        <f t="shared" si="21"/>
        <v>0.28999999999999998</v>
      </c>
      <c r="AK21" s="178">
        <f t="shared" si="22"/>
        <v>1.1268331351565597</v>
      </c>
      <c r="AM21" s="562">
        <f t="shared" si="23"/>
        <v>64</v>
      </c>
      <c r="AN21" s="471">
        <f t="shared" si="24"/>
        <v>221.95798652397946</v>
      </c>
      <c r="AP21">
        <f t="shared" si="25"/>
        <v>64</v>
      </c>
      <c r="AQ21" s="471">
        <f t="shared" si="26"/>
        <v>221.95798652397946</v>
      </c>
      <c r="AR21" s="471"/>
      <c r="AS21" s="5">
        <f t="shared" si="51"/>
        <v>4.5053571428571413</v>
      </c>
      <c r="AT21" s="5">
        <f t="shared" si="27"/>
        <v>1.0149999999999999</v>
      </c>
      <c r="AU21" s="5">
        <f t="shared" si="52"/>
        <v>3.4903571428571416</v>
      </c>
      <c r="AV21" s="5">
        <f t="shared" si="28"/>
        <v>0.99428571428571422</v>
      </c>
      <c r="AW21" s="178">
        <f t="shared" si="53"/>
        <v>0.22528735632183913</v>
      </c>
      <c r="AX21" s="178">
        <f t="shared" si="29"/>
        <v>0.78400000000000003</v>
      </c>
      <c r="AY21" s="178">
        <f t="shared" si="30"/>
        <v>0.22466666666666663</v>
      </c>
      <c r="AZ21" s="178">
        <f t="shared" si="54"/>
        <v>3.4896142433234427</v>
      </c>
      <c r="BA21" s="471">
        <f t="shared" si="31"/>
        <v>0.54133333333333322</v>
      </c>
      <c r="BB21" s="5">
        <f t="shared" si="32"/>
        <v>9.7974937343358368E-2</v>
      </c>
      <c r="BC21" s="5"/>
      <c r="BD21" s="178">
        <f t="shared" si="55"/>
        <v>7.9470469707656546E-2</v>
      </c>
      <c r="BE21" s="178">
        <f t="shared" si="33"/>
        <v>0.29473905596495198</v>
      </c>
      <c r="BF21" s="178"/>
      <c r="BG21" s="545">
        <f t="shared" si="34"/>
        <v>2.2104444444444446E-3</v>
      </c>
      <c r="BH21" s="545">
        <f t="shared" si="35"/>
        <v>2.3413793103448283E-2</v>
      </c>
      <c r="BI21" s="545">
        <f t="shared" si="36"/>
        <v>2.774474831549743E-3</v>
      </c>
      <c r="BJ21" s="545">
        <f t="shared" si="37"/>
        <v>2.6105033690051536E-2</v>
      </c>
      <c r="BK21">
        <f t="shared" si="38"/>
        <v>6.96E-3</v>
      </c>
      <c r="BL21" s="545">
        <f t="shared" si="39"/>
        <v>6.1510858404652438E-2</v>
      </c>
      <c r="BM21" s="471">
        <f t="shared" si="56"/>
        <v>61.510858404652438</v>
      </c>
      <c r="BN21" s="545">
        <f t="shared" si="40"/>
        <v>1.9199999999999998E-2</v>
      </c>
      <c r="BO21" s="545"/>
      <c r="BQ21" s="471">
        <f t="shared" si="57"/>
        <v>19.2</v>
      </c>
      <c r="BR21" s="545">
        <f t="shared" si="41"/>
        <v>5.9997777777777797E-4</v>
      </c>
      <c r="BS21" s="545">
        <f t="shared" si="42"/>
        <v>7.8183999999999979E-3</v>
      </c>
      <c r="BT21" s="545">
        <f t="shared" si="43"/>
        <v>1.6620417935136254E-3</v>
      </c>
      <c r="BU21" s="545">
        <f t="shared" si="44"/>
        <v>1.0087213008878094E-2</v>
      </c>
      <c r="BV21" s="545">
        <f t="shared" si="45"/>
        <v>4.2000000000000015E-3</v>
      </c>
      <c r="BW21" s="471">
        <f t="shared" si="58"/>
        <v>14.287213008878096</v>
      </c>
      <c r="BX21" s="178">
        <f t="shared" si="59"/>
        <v>9.4998071413530519E-2</v>
      </c>
      <c r="BY21" s="5">
        <f t="shared" si="60"/>
        <v>0.76800000000000002</v>
      </c>
      <c r="BZ21" s="178">
        <f t="shared" si="61"/>
        <v>0.88992087634920158</v>
      </c>
      <c r="CA21" s="5">
        <f t="shared" si="62"/>
        <v>88.992087634920154</v>
      </c>
      <c r="CD21" s="580">
        <f t="shared" si="46"/>
        <v>-50</v>
      </c>
      <c r="CE21">
        <f t="shared" si="47"/>
        <v>-50</v>
      </c>
    </row>
    <row r="22" spans="5:83" x14ac:dyDescent="0.2">
      <c r="E22" s="175">
        <v>17</v>
      </c>
      <c r="F22" s="222">
        <f t="shared" si="48"/>
        <v>6.8000000000000005E-2</v>
      </c>
      <c r="G22" s="222"/>
      <c r="H22" s="222">
        <f t="shared" si="0"/>
        <v>0.81600000000000006</v>
      </c>
      <c r="I22" s="558">
        <f t="shared" si="1"/>
        <v>24</v>
      </c>
      <c r="J22" s="177">
        <f t="shared" si="2"/>
        <v>24.5</v>
      </c>
      <c r="K22" s="453">
        <f t="shared" si="3"/>
        <v>48.5</v>
      </c>
      <c r="L22" s="453"/>
      <c r="M22" s="222">
        <f t="shared" si="4"/>
        <v>0.50515463917525771</v>
      </c>
      <c r="N22" s="177">
        <f t="shared" si="5"/>
        <v>8.3502061855670089</v>
      </c>
      <c r="O22" s="177">
        <f t="shared" si="49"/>
        <v>0.81600000000000006</v>
      </c>
      <c r="P22" s="222">
        <f t="shared" si="6"/>
        <v>0.69585051546391741</v>
      </c>
      <c r="Q22" s="222">
        <f t="shared" si="7"/>
        <v>12</v>
      </c>
      <c r="R22" s="222">
        <f t="shared" si="8"/>
        <v>0.73247422680412366</v>
      </c>
      <c r="S22" s="177">
        <f t="shared" si="9"/>
        <v>231.10120259217524</v>
      </c>
      <c r="T22" s="177">
        <f t="shared" si="10"/>
        <v>12</v>
      </c>
      <c r="U22" s="222">
        <f t="shared" si="11"/>
        <v>0.14169709989258863</v>
      </c>
      <c r="V22" s="222">
        <f t="shared" si="12"/>
        <v>0.49593984962406024</v>
      </c>
      <c r="W22" s="222">
        <f t="shared" si="13"/>
        <v>0.48581862820316107</v>
      </c>
      <c r="X22" s="202">
        <f t="shared" si="14"/>
        <v>350</v>
      </c>
      <c r="Y22" s="453">
        <f t="shared" si="50"/>
        <v>350</v>
      </c>
      <c r="AA22" s="222">
        <f t="shared" si="15"/>
        <v>0.41237113402061859</v>
      </c>
      <c r="AB22" s="178">
        <f t="shared" si="16"/>
        <v>1.4138438880706923</v>
      </c>
      <c r="AC22" s="178">
        <f t="shared" si="17"/>
        <v>0.20405994260814117</v>
      </c>
      <c r="AD22" s="178"/>
      <c r="AE22" s="178">
        <f t="shared" si="18"/>
        <v>0.99428571428571422</v>
      </c>
      <c r="AF22" s="562">
        <f t="shared" si="63"/>
        <v>235.83036068172817</v>
      </c>
      <c r="AG22" s="545">
        <f t="shared" si="19"/>
        <v>0.10091999999999998</v>
      </c>
      <c r="AI22" s="178">
        <f t="shared" si="20"/>
        <v>0.24423169902168218</v>
      </c>
      <c r="AJ22" s="178">
        <f t="shared" si="21"/>
        <v>0.28999999999999998</v>
      </c>
      <c r="AK22" s="178">
        <f t="shared" si="22"/>
        <v>1.1347602061038446</v>
      </c>
      <c r="AM22" s="562">
        <f t="shared" si="23"/>
        <v>68</v>
      </c>
      <c r="AN22" s="471">
        <f t="shared" si="24"/>
        <v>235.83036068172817</v>
      </c>
      <c r="AP22">
        <f t="shared" si="25"/>
        <v>68</v>
      </c>
      <c r="AQ22" s="471">
        <f t="shared" si="26"/>
        <v>235.83036068172817</v>
      </c>
      <c r="AR22" s="471"/>
      <c r="AS22" s="5">
        <f t="shared" si="51"/>
        <v>4.2403361344537807</v>
      </c>
      <c r="AT22" s="5">
        <f t="shared" si="27"/>
        <v>1.0149999999999999</v>
      </c>
      <c r="AU22" s="5">
        <f t="shared" si="52"/>
        <v>3.225336134453781</v>
      </c>
      <c r="AV22" s="5">
        <f t="shared" si="28"/>
        <v>0.99428571428571422</v>
      </c>
      <c r="AW22" s="178">
        <f t="shared" si="53"/>
        <v>0.23936781609195404</v>
      </c>
      <c r="AX22" s="178">
        <f t="shared" si="29"/>
        <v>0.83300000000000007</v>
      </c>
      <c r="AY22" s="178">
        <f t="shared" si="30"/>
        <v>0.22058333333333333</v>
      </c>
      <c r="AZ22" s="178">
        <f t="shared" si="54"/>
        <v>3.7763505855685686</v>
      </c>
      <c r="BA22" s="471">
        <f t="shared" si="31"/>
        <v>0.5751666666666666</v>
      </c>
      <c r="BB22" s="5">
        <f t="shared" si="32"/>
        <v>9.6194235588972415E-2</v>
      </c>
      <c r="BC22" s="5"/>
      <c r="BD22" s="178">
        <f t="shared" si="55"/>
        <v>8.1916285180529139E-2</v>
      </c>
      <c r="BE22" s="178">
        <f t="shared" si="33"/>
        <v>0.29204832172471423</v>
      </c>
      <c r="BF22" s="178"/>
      <c r="BG22" s="545">
        <f t="shared" si="34"/>
        <v>2.348597222222222E-3</v>
      </c>
      <c r="BH22" s="545">
        <f t="shared" si="35"/>
        <v>2.4877155172413797E-2</v>
      </c>
      <c r="BI22" s="545">
        <f t="shared" si="36"/>
        <v>2.947879508521602E-3</v>
      </c>
      <c r="BJ22" s="545">
        <f t="shared" si="37"/>
        <v>2.7736598295679756E-2</v>
      </c>
      <c r="BK22">
        <f t="shared" si="38"/>
        <v>6.96E-3</v>
      </c>
      <c r="BL22" s="545">
        <f t="shared" si="39"/>
        <v>6.4923063870003378E-2</v>
      </c>
      <c r="BM22" s="471">
        <f t="shared" si="56"/>
        <v>64.923063870003375</v>
      </c>
      <c r="BN22" s="545">
        <f t="shared" si="40"/>
        <v>2.0400000000000001E-2</v>
      </c>
      <c r="BO22" s="545"/>
      <c r="BQ22" s="471">
        <f t="shared" si="57"/>
        <v>20.400000000000002</v>
      </c>
      <c r="BR22" s="545">
        <f t="shared" si="41"/>
        <v>6.3747638888888886E-4</v>
      </c>
      <c r="BS22" s="545">
        <f t="shared" si="42"/>
        <v>7.6762999999999961E-3</v>
      </c>
      <c r="BT22" s="545">
        <f t="shared" si="43"/>
        <v>1.9340348125947123E-3</v>
      </c>
      <c r="BU22" s="545">
        <f t="shared" si="44"/>
        <v>1.0254631578595188E-2</v>
      </c>
      <c r="BV22" s="545">
        <f t="shared" si="45"/>
        <v>4.4625000000000012E-3</v>
      </c>
      <c r="BW22" s="471">
        <f t="shared" si="58"/>
        <v>14.717131578595188</v>
      </c>
      <c r="BX22" s="178">
        <f t="shared" si="59"/>
        <v>0.10004019544859857</v>
      </c>
      <c r="BY22" s="5">
        <f t="shared" si="60"/>
        <v>0.81600000000000006</v>
      </c>
      <c r="BZ22" s="178">
        <f t="shared" si="61"/>
        <v>0.89079060510045915</v>
      </c>
      <c r="CA22" s="5">
        <f t="shared" si="62"/>
        <v>89.07906051004592</v>
      </c>
      <c r="CD22" s="580">
        <f t="shared" si="46"/>
        <v>-50</v>
      </c>
      <c r="CE22">
        <f t="shared" si="47"/>
        <v>-50</v>
      </c>
    </row>
    <row r="23" spans="5:83" x14ac:dyDescent="0.2">
      <c r="E23" s="175">
        <v>18</v>
      </c>
      <c r="F23" s="222">
        <f t="shared" si="48"/>
        <v>7.1999999999999995E-2</v>
      </c>
      <c r="G23" s="222"/>
      <c r="H23" s="222">
        <f t="shared" si="0"/>
        <v>0.86399999999999988</v>
      </c>
      <c r="I23" s="558">
        <f t="shared" si="1"/>
        <v>24</v>
      </c>
      <c r="J23" s="177">
        <f t="shared" si="2"/>
        <v>24.5</v>
      </c>
      <c r="K23" s="453">
        <f t="shared" si="3"/>
        <v>48.5</v>
      </c>
      <c r="L23" s="453"/>
      <c r="M23" s="222">
        <f t="shared" si="4"/>
        <v>0.50515463917525771</v>
      </c>
      <c r="N23" s="177">
        <f t="shared" si="5"/>
        <v>8.3502061855670089</v>
      </c>
      <c r="O23" s="177">
        <f t="shared" si="49"/>
        <v>0.86399999999999988</v>
      </c>
      <c r="P23" s="222">
        <f t="shared" si="6"/>
        <v>0.69585051546391741</v>
      </c>
      <c r="Q23" s="222">
        <f t="shared" si="7"/>
        <v>12</v>
      </c>
      <c r="R23" s="222">
        <f t="shared" si="8"/>
        <v>0.73247422680412366</v>
      </c>
      <c r="S23" s="177">
        <f t="shared" si="9"/>
        <v>217.59710445968108</v>
      </c>
      <c r="T23" s="177">
        <f t="shared" si="10"/>
        <v>12</v>
      </c>
      <c r="U23" s="222">
        <f t="shared" si="11"/>
        <v>0.15003222341568206</v>
      </c>
      <c r="V23" s="222">
        <f t="shared" si="12"/>
        <v>0.5251127819548872</v>
      </c>
      <c r="W23" s="222">
        <f t="shared" si="13"/>
        <v>0.51439619456805274</v>
      </c>
      <c r="X23" s="202">
        <f t="shared" si="14"/>
        <v>350</v>
      </c>
      <c r="Y23" s="453">
        <f t="shared" si="50"/>
        <v>350</v>
      </c>
      <c r="AA23" s="222">
        <f t="shared" si="15"/>
        <v>0.41237113402061859</v>
      </c>
      <c r="AB23" s="178">
        <f t="shared" si="16"/>
        <v>1.4138438880706923</v>
      </c>
      <c r="AC23" s="178">
        <f t="shared" si="17"/>
        <v>0.20405994260814117</v>
      </c>
      <c r="AD23" s="178"/>
      <c r="AE23" s="178">
        <f t="shared" si="18"/>
        <v>0.99428571428571422</v>
      </c>
      <c r="AF23" s="562">
        <f t="shared" si="63"/>
        <v>249.70273483947685</v>
      </c>
      <c r="AG23" s="545">
        <f t="shared" si="19"/>
        <v>0.10091999999999998</v>
      </c>
      <c r="AI23" s="178">
        <f t="shared" si="20"/>
        <v>0.25131234497501731</v>
      </c>
      <c r="AJ23" s="178">
        <f t="shared" si="21"/>
        <v>0.28999999999999998</v>
      </c>
      <c r="AK23" s="178">
        <f t="shared" si="22"/>
        <v>1.1426872770511296</v>
      </c>
      <c r="AM23" s="562">
        <f t="shared" si="23"/>
        <v>72</v>
      </c>
      <c r="AN23" s="471">
        <f t="shared" si="24"/>
        <v>249.70273483947685</v>
      </c>
      <c r="AP23">
        <f t="shared" si="25"/>
        <v>72</v>
      </c>
      <c r="AQ23" s="471">
        <f t="shared" si="26"/>
        <v>249.70273483947685</v>
      </c>
      <c r="AR23" s="471"/>
      <c r="AS23" s="5">
        <f t="shared" si="51"/>
        <v>4.0047619047619039</v>
      </c>
      <c r="AT23" s="5">
        <f t="shared" si="27"/>
        <v>1.0149999999999999</v>
      </c>
      <c r="AU23" s="5">
        <f t="shared" si="52"/>
        <v>2.9897619047619042</v>
      </c>
      <c r="AV23" s="5">
        <f t="shared" si="28"/>
        <v>0.99428571428571422</v>
      </c>
      <c r="AW23" s="178">
        <f t="shared" si="53"/>
        <v>0.25344827586206897</v>
      </c>
      <c r="AX23" s="178">
        <f t="shared" si="29"/>
        <v>0.88200000000000001</v>
      </c>
      <c r="AY23" s="178">
        <f t="shared" si="30"/>
        <v>0.21649999999999997</v>
      </c>
      <c r="AZ23" s="178">
        <f t="shared" si="54"/>
        <v>4.0739030023094696</v>
      </c>
      <c r="BA23" s="471">
        <f t="shared" si="31"/>
        <v>0.60899999999999999</v>
      </c>
      <c r="BB23" s="5">
        <f t="shared" si="32"/>
        <v>9.4413533834586422E-2</v>
      </c>
      <c r="BC23" s="5"/>
      <c r="BD23" s="178">
        <f t="shared" si="55"/>
        <v>8.4291162051546062E-2</v>
      </c>
      <c r="BE23" s="178">
        <f t="shared" si="33"/>
        <v>0.28933256528315876</v>
      </c>
      <c r="BF23" s="178"/>
      <c r="BG23" s="545">
        <f t="shared" si="34"/>
        <v>2.4867499999999998E-3</v>
      </c>
      <c r="BH23" s="545">
        <f t="shared" si="35"/>
        <v>2.6340517241379313E-2</v>
      </c>
      <c r="BI23" s="545">
        <f t="shared" si="36"/>
        <v>3.1212841854934602E-3</v>
      </c>
      <c r="BJ23" s="545">
        <f t="shared" si="37"/>
        <v>2.9368162901307972E-2</v>
      </c>
      <c r="BK23">
        <f t="shared" si="38"/>
        <v>6.96E-3</v>
      </c>
      <c r="BL23" s="545">
        <f t="shared" si="39"/>
        <v>6.8335596301212095E-2</v>
      </c>
      <c r="BM23" s="471">
        <f t="shared" si="56"/>
        <v>68.335596301212092</v>
      </c>
      <c r="BN23" s="545">
        <f t="shared" si="40"/>
        <v>2.1599999999999998E-2</v>
      </c>
      <c r="BO23" s="545"/>
      <c r="BQ23" s="471">
        <f t="shared" si="57"/>
        <v>21.599999999999998</v>
      </c>
      <c r="BR23" s="545">
        <f t="shared" si="41"/>
        <v>6.7497499999999997E-4</v>
      </c>
      <c r="BS23" s="545">
        <f t="shared" si="42"/>
        <v>7.5341999999999987E-3</v>
      </c>
      <c r="BT23" s="545">
        <f t="shared" si="43"/>
        <v>2.2311216292388381E-3</v>
      </c>
      <c r="BU23" s="545">
        <f t="shared" si="44"/>
        <v>1.0447157632859696E-2</v>
      </c>
      <c r="BV23" s="545">
        <f t="shared" si="45"/>
        <v>4.7250000000000009E-3</v>
      </c>
      <c r="BW23" s="471">
        <f t="shared" si="58"/>
        <v>15.172157632859697</v>
      </c>
      <c r="BX23" s="178">
        <f t="shared" si="59"/>
        <v>0.10510775393407179</v>
      </c>
      <c r="BY23" s="5">
        <f t="shared" si="60"/>
        <v>0.86399999999999988</v>
      </c>
      <c r="BZ23" s="178">
        <f t="shared" si="61"/>
        <v>0.89154172638967222</v>
      </c>
      <c r="CA23" s="5">
        <f t="shared" si="62"/>
        <v>89.154172638967225</v>
      </c>
      <c r="CD23" s="580">
        <f t="shared" si="46"/>
        <v>-50</v>
      </c>
      <c r="CE23">
        <f t="shared" si="47"/>
        <v>-50</v>
      </c>
    </row>
    <row r="24" spans="5:83" x14ac:dyDescent="0.2">
      <c r="E24" s="175">
        <v>19</v>
      </c>
      <c r="F24" s="222">
        <f t="shared" si="48"/>
        <v>7.6000000000000012E-2</v>
      </c>
      <c r="G24" s="222"/>
      <c r="H24" s="222">
        <f t="shared" si="0"/>
        <v>0.91200000000000014</v>
      </c>
      <c r="I24" s="558">
        <f t="shared" si="1"/>
        <v>24</v>
      </c>
      <c r="J24" s="177">
        <f t="shared" si="2"/>
        <v>24.5</v>
      </c>
      <c r="K24" s="453">
        <f t="shared" si="3"/>
        <v>48.5</v>
      </c>
      <c r="L24" s="453"/>
      <c r="M24" s="222">
        <f t="shared" si="4"/>
        <v>0.50515463917525771</v>
      </c>
      <c r="N24" s="177">
        <f t="shared" si="5"/>
        <v>8.3502061855670089</v>
      </c>
      <c r="O24" s="177">
        <f t="shared" si="49"/>
        <v>0.91200000000000014</v>
      </c>
      <c r="P24" s="222">
        <f t="shared" si="6"/>
        <v>0.69585051546391741</v>
      </c>
      <c r="Q24" s="222">
        <f t="shared" si="7"/>
        <v>12</v>
      </c>
      <c r="R24" s="222">
        <f t="shared" si="8"/>
        <v>0.73247422680412366</v>
      </c>
      <c r="S24" s="177">
        <f t="shared" si="9"/>
        <v>205.51457976879868</v>
      </c>
      <c r="T24" s="177">
        <f t="shared" si="10"/>
        <v>12</v>
      </c>
      <c r="U24" s="222">
        <f t="shared" si="11"/>
        <v>0.15836734693877555</v>
      </c>
      <c r="V24" s="222">
        <f t="shared" si="12"/>
        <v>0.55428571428571438</v>
      </c>
      <c r="W24" s="222">
        <f t="shared" si="13"/>
        <v>0.54297376093294469</v>
      </c>
      <c r="X24" s="202">
        <f t="shared" si="14"/>
        <v>350</v>
      </c>
      <c r="Y24" s="453">
        <f t="shared" si="50"/>
        <v>350</v>
      </c>
      <c r="AA24" s="222">
        <f t="shared" si="15"/>
        <v>0.41237113402061859</v>
      </c>
      <c r="AB24" s="178">
        <f t="shared" si="16"/>
        <v>1.4138438880706923</v>
      </c>
      <c r="AC24" s="178">
        <f t="shared" si="17"/>
        <v>0.20405994260814117</v>
      </c>
      <c r="AD24" s="178"/>
      <c r="AE24" s="178">
        <f t="shared" si="18"/>
        <v>0.99428571428571422</v>
      </c>
      <c r="AF24" s="562">
        <f t="shared" si="63"/>
        <v>263.57510899722564</v>
      </c>
      <c r="AG24" s="545">
        <f t="shared" si="19"/>
        <v>0.10091999999999998</v>
      </c>
      <c r="AI24" s="178">
        <f t="shared" si="20"/>
        <v>0.25819888974716115</v>
      </c>
      <c r="AJ24" s="178">
        <f t="shared" si="21"/>
        <v>0.28999999999999998</v>
      </c>
      <c r="AK24" s="178">
        <f t="shared" si="22"/>
        <v>1.1506143479984146</v>
      </c>
      <c r="AM24" s="562">
        <f t="shared" si="23"/>
        <v>76.000000000000014</v>
      </c>
      <c r="AN24" s="471">
        <f t="shared" si="24"/>
        <v>263.57510899722564</v>
      </c>
      <c r="AP24">
        <f t="shared" si="25"/>
        <v>76.000000000000014</v>
      </c>
      <c r="AQ24" s="471">
        <f t="shared" si="26"/>
        <v>263.57510899722564</v>
      </c>
      <c r="AR24" s="471"/>
      <c r="AS24" s="5">
        <f t="shared" si="51"/>
        <v>3.7939849624060131</v>
      </c>
      <c r="AT24" s="5">
        <f t="shared" si="27"/>
        <v>1.0149999999999999</v>
      </c>
      <c r="AU24" s="5">
        <f t="shared" si="52"/>
        <v>2.778984962406013</v>
      </c>
      <c r="AV24" s="5">
        <f t="shared" si="28"/>
        <v>0.99428571428571422</v>
      </c>
      <c r="AW24" s="178">
        <f t="shared" si="53"/>
        <v>0.26752873563218399</v>
      </c>
      <c r="AX24" s="178">
        <f t="shared" si="29"/>
        <v>0.93100000000000027</v>
      </c>
      <c r="AY24" s="178">
        <f t="shared" si="30"/>
        <v>0.21241666666666661</v>
      </c>
      <c r="AZ24" s="178">
        <f t="shared" si="54"/>
        <v>4.3828952530404104</v>
      </c>
      <c r="BA24" s="471">
        <f t="shared" si="31"/>
        <v>0.64283333333333337</v>
      </c>
      <c r="BB24" s="5">
        <f t="shared" si="32"/>
        <v>9.2632832080200442E-2</v>
      </c>
      <c r="BC24" s="5"/>
      <c r="BD24" s="178">
        <f t="shared" si="55"/>
        <v>8.6600936612846305E-2</v>
      </c>
      <c r="BE24" s="178">
        <f t="shared" si="33"/>
        <v>0.2865910753049446</v>
      </c>
      <c r="BF24" s="178"/>
      <c r="BG24" s="545">
        <f t="shared" si="34"/>
        <v>2.6249027777777781E-3</v>
      </c>
      <c r="BH24" s="545">
        <f t="shared" si="35"/>
        <v>2.7803879310344837E-2</v>
      </c>
      <c r="BI24" s="545">
        <f t="shared" si="36"/>
        <v>3.2946888624653206E-3</v>
      </c>
      <c r="BJ24" s="545">
        <f t="shared" si="37"/>
        <v>3.0999727506936203E-2</v>
      </c>
      <c r="BK24">
        <f t="shared" si="38"/>
        <v>6.96E-3</v>
      </c>
      <c r="BL24" s="545">
        <f t="shared" si="39"/>
        <v>7.1748455745276843E-2</v>
      </c>
      <c r="BM24" s="471">
        <f t="shared" si="56"/>
        <v>71.748455745276843</v>
      </c>
      <c r="BN24" s="545">
        <f t="shared" si="40"/>
        <v>2.2800000000000004E-2</v>
      </c>
      <c r="BO24" s="545"/>
      <c r="BQ24" s="471">
        <f t="shared" si="57"/>
        <v>22.800000000000004</v>
      </c>
      <c r="BR24" s="545">
        <f t="shared" si="41"/>
        <v>7.1247361111111129E-4</v>
      </c>
      <c r="BS24" s="545">
        <f t="shared" si="42"/>
        <v>7.3920999999999978E-3</v>
      </c>
      <c r="BT24" s="545">
        <f t="shared" si="43"/>
        <v>2.5540299518066224E-3</v>
      </c>
      <c r="BU24" s="545">
        <f t="shared" si="44"/>
        <v>1.0665518721444021E-2</v>
      </c>
      <c r="BV24" s="545">
        <f t="shared" si="45"/>
        <v>4.9875000000000015E-3</v>
      </c>
      <c r="BW24" s="471">
        <f t="shared" si="58"/>
        <v>15.653018721444024</v>
      </c>
      <c r="BX24" s="178">
        <f t="shared" si="59"/>
        <v>0.11020147446672088</v>
      </c>
      <c r="BY24" s="5">
        <f t="shared" si="60"/>
        <v>0.91200000000000014</v>
      </c>
      <c r="BZ24" s="178">
        <f t="shared" si="61"/>
        <v>0.89219202161275246</v>
      </c>
      <c r="CA24" s="5">
        <f t="shared" si="62"/>
        <v>89.219202161275248</v>
      </c>
      <c r="CD24" s="580">
        <f t="shared" si="46"/>
        <v>-50</v>
      </c>
      <c r="CE24">
        <f t="shared" si="47"/>
        <v>-50</v>
      </c>
    </row>
    <row r="25" spans="5:83" x14ac:dyDescent="0.2">
      <c r="E25" s="175">
        <v>20</v>
      </c>
      <c r="F25" s="222">
        <f t="shared" si="48"/>
        <v>8.0000000000000016E-2</v>
      </c>
      <c r="G25" s="222"/>
      <c r="H25" s="222">
        <f t="shared" si="0"/>
        <v>0.96000000000000019</v>
      </c>
      <c r="I25" s="558">
        <f t="shared" si="1"/>
        <v>24</v>
      </c>
      <c r="J25" s="177">
        <f t="shared" si="2"/>
        <v>24.5</v>
      </c>
      <c r="K25" s="453">
        <f t="shared" si="3"/>
        <v>48.5</v>
      </c>
      <c r="L25" s="453"/>
      <c r="M25" s="222">
        <f t="shared" si="4"/>
        <v>0.50515463917525771</v>
      </c>
      <c r="N25" s="177">
        <f t="shared" si="5"/>
        <v>8.3502061855670089</v>
      </c>
      <c r="O25" s="177">
        <f t="shared" si="49"/>
        <v>0.96000000000000019</v>
      </c>
      <c r="P25" s="222">
        <f t="shared" si="6"/>
        <v>0.69585051546391741</v>
      </c>
      <c r="Q25" s="222">
        <f t="shared" si="7"/>
        <v>12</v>
      </c>
      <c r="R25" s="222">
        <f t="shared" si="8"/>
        <v>0.73247422680412366</v>
      </c>
      <c r="S25" s="177">
        <f t="shared" si="9"/>
        <v>194.64039326772183</v>
      </c>
      <c r="T25" s="177">
        <f t="shared" si="10"/>
        <v>12</v>
      </c>
      <c r="U25" s="222">
        <f t="shared" si="11"/>
        <v>0.16670247046186901</v>
      </c>
      <c r="V25" s="222">
        <f t="shared" si="12"/>
        <v>0.58345864661654157</v>
      </c>
      <c r="W25" s="222">
        <f t="shared" si="13"/>
        <v>0.57155132729783653</v>
      </c>
      <c r="X25" s="202">
        <f t="shared" si="14"/>
        <v>350</v>
      </c>
      <c r="Y25" s="453">
        <f t="shared" si="50"/>
        <v>350</v>
      </c>
      <c r="AA25" s="222">
        <f t="shared" si="15"/>
        <v>0.41237113402061859</v>
      </c>
      <c r="AB25" s="178">
        <f t="shared" si="16"/>
        <v>1.4138438880706923</v>
      </c>
      <c r="AC25" s="178">
        <f t="shared" si="17"/>
        <v>0.20405994260814117</v>
      </c>
      <c r="AD25" s="178"/>
      <c r="AE25" s="178">
        <f t="shared" si="18"/>
        <v>0.99428571428571422</v>
      </c>
      <c r="AF25" s="562">
        <f t="shared" si="63"/>
        <v>277.44748315497435</v>
      </c>
      <c r="AG25" s="545">
        <f t="shared" si="19"/>
        <v>0.10091999999999998</v>
      </c>
      <c r="AI25" s="178">
        <f t="shared" si="20"/>
        <v>0.26490647141300883</v>
      </c>
      <c r="AJ25" s="178">
        <f t="shared" si="21"/>
        <v>0.28999999999999998</v>
      </c>
      <c r="AK25" s="178">
        <f t="shared" si="22"/>
        <v>1.1585414189456995</v>
      </c>
      <c r="AM25" s="562">
        <f t="shared" si="23"/>
        <v>80.000000000000014</v>
      </c>
      <c r="AN25" s="471">
        <f t="shared" si="24"/>
        <v>277.44748315497435</v>
      </c>
      <c r="AP25">
        <f t="shared" si="25"/>
        <v>80.000000000000014</v>
      </c>
      <c r="AQ25" s="471">
        <f t="shared" si="26"/>
        <v>277.44748315497435</v>
      </c>
      <c r="AR25" s="471"/>
      <c r="AS25" s="5">
        <f t="shared" si="51"/>
        <v>3.6042857142857128</v>
      </c>
      <c r="AT25" s="5">
        <f t="shared" si="27"/>
        <v>1.0149999999999999</v>
      </c>
      <c r="AU25" s="5">
        <f t="shared" si="52"/>
        <v>2.5892857142857126</v>
      </c>
      <c r="AV25" s="5">
        <f t="shared" si="28"/>
        <v>0.99428571428571422</v>
      </c>
      <c r="AW25" s="178">
        <f t="shared" si="53"/>
        <v>0.28160919540229895</v>
      </c>
      <c r="AX25" s="178">
        <f t="shared" si="29"/>
        <v>0.9800000000000002</v>
      </c>
      <c r="AY25" s="178">
        <f t="shared" si="30"/>
        <v>0.20833333333333329</v>
      </c>
      <c r="AZ25" s="178">
        <f t="shared" si="54"/>
        <v>4.7040000000000024</v>
      </c>
      <c r="BA25" s="471">
        <f t="shared" si="31"/>
        <v>0.67666666666666675</v>
      </c>
      <c r="BB25" s="5">
        <f t="shared" si="32"/>
        <v>9.085213032581449E-2</v>
      </c>
      <c r="BC25" s="5"/>
      <c r="BD25" s="178">
        <f t="shared" si="55"/>
        <v>8.8850686235078941E-2</v>
      </c>
      <c r="BE25" s="178">
        <f t="shared" si="33"/>
        <v>0.28382310609877331</v>
      </c>
      <c r="BF25" s="178"/>
      <c r="BG25" s="545">
        <f t="shared" si="34"/>
        <v>2.7630555555555564E-3</v>
      </c>
      <c r="BH25" s="545">
        <f t="shared" si="35"/>
        <v>2.9267241379310353E-2</v>
      </c>
      <c r="BI25" s="545">
        <f t="shared" si="36"/>
        <v>3.4680935394371792E-3</v>
      </c>
      <c r="BJ25" s="545">
        <f t="shared" si="37"/>
        <v>3.2631292112564422E-2</v>
      </c>
      <c r="BK25">
        <f t="shared" si="38"/>
        <v>6.96E-3</v>
      </c>
      <c r="BL25" s="545">
        <f t="shared" si="39"/>
        <v>7.5161642249204852E-2</v>
      </c>
      <c r="BM25" s="471">
        <f t="shared" si="56"/>
        <v>75.161642249204846</v>
      </c>
      <c r="BN25" s="545">
        <f t="shared" si="40"/>
        <v>2.4000000000000004E-2</v>
      </c>
      <c r="BO25" s="545"/>
      <c r="BQ25" s="471">
        <f t="shared" si="57"/>
        <v>24.000000000000004</v>
      </c>
      <c r="BR25" s="545">
        <f t="shared" si="41"/>
        <v>7.4997222222222251E-4</v>
      </c>
      <c r="BS25" s="545">
        <f t="shared" si="42"/>
        <v>7.2499999999999978E-3</v>
      </c>
      <c r="BT25" s="545">
        <f t="shared" si="43"/>
        <v>2.9034675247985474E-3</v>
      </c>
      <c r="BU25" s="545">
        <f t="shared" si="44"/>
        <v>1.0910422393106975E-2</v>
      </c>
      <c r="BV25" s="545">
        <f t="shared" si="45"/>
        <v>5.2500000000000021E-3</v>
      </c>
      <c r="BW25" s="471">
        <f t="shared" si="58"/>
        <v>16.160422393106977</v>
      </c>
      <c r="BX25" s="178">
        <f t="shared" si="59"/>
        <v>0.11532206464231184</v>
      </c>
      <c r="BY25" s="5">
        <f t="shared" si="60"/>
        <v>0.96000000000000019</v>
      </c>
      <c r="BZ25" s="178">
        <f t="shared" si="61"/>
        <v>0.8927557906284832</v>
      </c>
      <c r="CA25" s="5">
        <f t="shared" si="62"/>
        <v>89.275579062848323</v>
      </c>
      <c r="CD25" s="580">
        <f t="shared" si="46"/>
        <v>-50</v>
      </c>
      <c r="CE25">
        <f t="shared" si="47"/>
        <v>-50</v>
      </c>
    </row>
    <row r="26" spans="5:83" x14ac:dyDescent="0.2">
      <c r="E26" s="175">
        <v>21</v>
      </c>
      <c r="F26" s="222">
        <f t="shared" si="48"/>
        <v>8.4000000000000005E-2</v>
      </c>
      <c r="G26" s="222"/>
      <c r="H26" s="222">
        <f t="shared" si="0"/>
        <v>1.008</v>
      </c>
      <c r="I26" s="558">
        <f t="shared" si="1"/>
        <v>24</v>
      </c>
      <c r="J26" s="177">
        <f t="shared" si="2"/>
        <v>24.5</v>
      </c>
      <c r="K26" s="453">
        <f t="shared" si="3"/>
        <v>48.5</v>
      </c>
      <c r="L26" s="453"/>
      <c r="M26" s="222">
        <f t="shared" si="4"/>
        <v>0.50515463917525771</v>
      </c>
      <c r="N26" s="177">
        <f t="shared" si="5"/>
        <v>8.3502061855670089</v>
      </c>
      <c r="O26" s="177">
        <f t="shared" si="49"/>
        <v>1.008</v>
      </c>
      <c r="P26" s="222">
        <f t="shared" si="6"/>
        <v>0.69585051546391741</v>
      </c>
      <c r="Q26" s="222">
        <f t="shared" si="7"/>
        <v>12</v>
      </c>
      <c r="R26" s="222">
        <f t="shared" si="8"/>
        <v>0.73247422680412366</v>
      </c>
      <c r="S26" s="177">
        <f t="shared" si="9"/>
        <v>184.8019259516268</v>
      </c>
      <c r="T26" s="177">
        <f t="shared" si="10"/>
        <v>12</v>
      </c>
      <c r="U26" s="222">
        <f t="shared" si="11"/>
        <v>0.17503759398496244</v>
      </c>
      <c r="V26" s="222">
        <f t="shared" si="12"/>
        <v>0.61263157894736853</v>
      </c>
      <c r="W26" s="222">
        <f t="shared" si="13"/>
        <v>0.60012889366272826</v>
      </c>
      <c r="X26" s="202">
        <f t="shared" si="14"/>
        <v>350</v>
      </c>
      <c r="Y26" s="453">
        <f t="shared" si="50"/>
        <v>350</v>
      </c>
      <c r="AA26" s="222">
        <f t="shared" si="15"/>
        <v>0.41237113402061859</v>
      </c>
      <c r="AB26" s="178">
        <f t="shared" si="16"/>
        <v>1.4138438880706923</v>
      </c>
      <c r="AC26" s="178">
        <f t="shared" si="17"/>
        <v>0.20405994260814117</v>
      </c>
      <c r="AD26" s="178"/>
      <c r="AE26" s="178">
        <f t="shared" si="18"/>
        <v>0.99428571428571422</v>
      </c>
      <c r="AF26" s="562">
        <f t="shared" si="63"/>
        <v>291.31985731272306</v>
      </c>
      <c r="AG26" s="545">
        <f t="shared" si="19"/>
        <v>0.10091999999999998</v>
      </c>
      <c r="AI26" s="178">
        <f t="shared" si="20"/>
        <v>0.2714483570153185</v>
      </c>
      <c r="AJ26" s="178">
        <f t="shared" si="21"/>
        <v>0.28999999999999998</v>
      </c>
      <c r="AK26" s="178">
        <f t="shared" si="22"/>
        <v>1.1664684898929847</v>
      </c>
      <c r="AM26" s="562">
        <f t="shared" si="23"/>
        <v>84</v>
      </c>
      <c r="AN26" s="471">
        <f t="shared" si="24"/>
        <v>291.31985731272306</v>
      </c>
      <c r="AP26">
        <f t="shared" si="25"/>
        <v>84</v>
      </c>
      <c r="AQ26" s="471">
        <f t="shared" si="26"/>
        <v>291.31985731272306</v>
      </c>
      <c r="AR26" s="471"/>
      <c r="AS26" s="5">
        <f t="shared" si="51"/>
        <v>3.4326530612244883</v>
      </c>
      <c r="AT26" s="5">
        <f t="shared" si="27"/>
        <v>1.0149999999999999</v>
      </c>
      <c r="AU26" s="5">
        <f t="shared" si="52"/>
        <v>2.4176530612244882</v>
      </c>
      <c r="AV26" s="5">
        <f t="shared" si="28"/>
        <v>0.99428571428571422</v>
      </c>
      <c r="AW26" s="178">
        <f t="shared" si="53"/>
        <v>0.29568965517241391</v>
      </c>
      <c r="AX26" s="178">
        <f t="shared" si="29"/>
        <v>1.0290000000000001</v>
      </c>
      <c r="AY26" s="178">
        <f t="shared" si="30"/>
        <v>0.20424999999999993</v>
      </c>
      <c r="AZ26" s="178">
        <f t="shared" si="54"/>
        <v>5.0379436964504309</v>
      </c>
      <c r="BA26" s="471">
        <f t="shared" si="31"/>
        <v>0.71050000000000002</v>
      </c>
      <c r="BB26" s="5">
        <f t="shared" si="32"/>
        <v>8.907142857142851E-2</v>
      </c>
      <c r="BC26" s="5"/>
      <c r="BD26" s="178">
        <f t="shared" si="55"/>
        <v>9.1044860737257816E-2</v>
      </c>
      <c r="BE26" s="178">
        <f t="shared" si="33"/>
        <v>0.28102787524846468</v>
      </c>
      <c r="BF26" s="178"/>
      <c r="BG26" s="545">
        <f t="shared" si="34"/>
        <v>2.9012083333333346E-3</v>
      </c>
      <c r="BH26" s="545">
        <f t="shared" si="35"/>
        <v>3.0730603448275867E-2</v>
      </c>
      <c r="BI26" s="545">
        <f t="shared" si="36"/>
        <v>3.6414982164090382E-3</v>
      </c>
      <c r="BJ26" s="545">
        <f t="shared" si="37"/>
        <v>3.4262856718192645E-2</v>
      </c>
      <c r="BK26">
        <f t="shared" si="38"/>
        <v>6.96E-3</v>
      </c>
      <c r="BL26" s="545">
        <f t="shared" si="39"/>
        <v>7.8575155860012388E-2</v>
      </c>
      <c r="BM26" s="471">
        <f t="shared" si="56"/>
        <v>78.575155860012387</v>
      </c>
      <c r="BN26" s="545">
        <f t="shared" si="40"/>
        <v>2.52E-2</v>
      </c>
      <c r="BO26" s="545"/>
      <c r="BQ26" s="471">
        <f t="shared" si="57"/>
        <v>25.2</v>
      </c>
      <c r="BR26" s="545">
        <f t="shared" si="41"/>
        <v>7.8747083333333373E-4</v>
      </c>
      <c r="BS26" s="545">
        <f t="shared" si="42"/>
        <v>7.107899999999996E-3</v>
      </c>
      <c r="BT26" s="545">
        <f t="shared" si="43"/>
        <v>3.280123687683345E-3</v>
      </c>
      <c r="BU26" s="545">
        <f t="shared" si="44"/>
        <v>1.1182557756244733E-2</v>
      </c>
      <c r="BV26" s="545">
        <f t="shared" si="45"/>
        <v>5.5125000000000018E-3</v>
      </c>
      <c r="BW26" s="471">
        <f t="shared" si="58"/>
        <v>16.695057756244733</v>
      </c>
      <c r="BX26" s="178">
        <f t="shared" si="59"/>
        <v>0.12047021361625712</v>
      </c>
      <c r="BY26" s="5">
        <f t="shared" si="60"/>
        <v>1.008</v>
      </c>
      <c r="BZ26" s="178">
        <f t="shared" si="61"/>
        <v>0.89324466683954162</v>
      </c>
      <c r="CA26" s="5">
        <f t="shared" si="62"/>
        <v>89.324466683954157</v>
      </c>
      <c r="CD26" s="580">
        <f t="shared" si="46"/>
        <v>-50</v>
      </c>
      <c r="CE26">
        <f t="shared" si="47"/>
        <v>-50</v>
      </c>
    </row>
    <row r="27" spans="5:83" x14ac:dyDescent="0.2">
      <c r="E27" s="175">
        <v>22</v>
      </c>
      <c r="F27" s="222">
        <f t="shared" si="48"/>
        <v>8.8000000000000009E-2</v>
      </c>
      <c r="G27" s="222"/>
      <c r="H27" s="222">
        <f t="shared" si="0"/>
        <v>1.056</v>
      </c>
      <c r="I27" s="558">
        <f t="shared" si="1"/>
        <v>24</v>
      </c>
      <c r="J27" s="177">
        <f t="shared" si="2"/>
        <v>24.5</v>
      </c>
      <c r="K27" s="453">
        <f t="shared" si="3"/>
        <v>48.5</v>
      </c>
      <c r="L27" s="453"/>
      <c r="M27" s="222">
        <f t="shared" si="4"/>
        <v>0.50515463917525771</v>
      </c>
      <c r="N27" s="177">
        <f t="shared" si="5"/>
        <v>8.3502061855670089</v>
      </c>
      <c r="O27" s="177">
        <f t="shared" si="49"/>
        <v>1.056</v>
      </c>
      <c r="P27" s="222">
        <f t="shared" si="6"/>
        <v>0.69585051546391741</v>
      </c>
      <c r="Q27" s="222">
        <f t="shared" si="7"/>
        <v>12</v>
      </c>
      <c r="R27" s="222">
        <f t="shared" si="8"/>
        <v>0.73247422680412366</v>
      </c>
      <c r="S27" s="177">
        <f t="shared" si="9"/>
        <v>175.85794409756573</v>
      </c>
      <c r="T27" s="177">
        <f t="shared" si="10"/>
        <v>12</v>
      </c>
      <c r="U27" s="222">
        <f t="shared" si="11"/>
        <v>0.18337271750805589</v>
      </c>
      <c r="V27" s="222">
        <f t="shared" si="12"/>
        <v>0.6418045112781956</v>
      </c>
      <c r="W27" s="222">
        <f t="shared" si="13"/>
        <v>0.62870646002762021</v>
      </c>
      <c r="X27" s="202">
        <f t="shared" si="14"/>
        <v>350</v>
      </c>
      <c r="Y27" s="453">
        <f t="shared" si="50"/>
        <v>350</v>
      </c>
      <c r="AA27" s="222">
        <f t="shared" si="15"/>
        <v>0.41237113402061859</v>
      </c>
      <c r="AB27" s="178">
        <f t="shared" si="16"/>
        <v>1.4138438880706923</v>
      </c>
      <c r="AC27" s="178">
        <f t="shared" si="17"/>
        <v>0.20405994260814117</v>
      </c>
      <c r="AD27" s="178"/>
      <c r="AE27" s="178">
        <f t="shared" si="18"/>
        <v>0.99428571428571422</v>
      </c>
      <c r="AF27" s="562">
        <f t="shared" si="63"/>
        <v>305.19223147047177</v>
      </c>
      <c r="AG27" s="545">
        <f t="shared" si="19"/>
        <v>0.10091999999999998</v>
      </c>
      <c r="AI27" s="178">
        <f t="shared" si="20"/>
        <v>0.27783625115549693</v>
      </c>
      <c r="AJ27" s="178">
        <f t="shared" si="21"/>
        <v>0.28999999999999998</v>
      </c>
      <c r="AK27" s="178">
        <f t="shared" si="22"/>
        <v>1.1743955608402696</v>
      </c>
      <c r="AM27" s="562">
        <f t="shared" si="23"/>
        <v>88.000000000000014</v>
      </c>
      <c r="AN27" s="471">
        <f t="shared" si="24"/>
        <v>305.19223147047177</v>
      </c>
      <c r="AP27">
        <f t="shared" si="25"/>
        <v>88.000000000000014</v>
      </c>
      <c r="AQ27" s="471">
        <f t="shared" si="26"/>
        <v>305.19223147047177</v>
      </c>
      <c r="AR27" s="471"/>
      <c r="AS27" s="5">
        <f t="shared" si="51"/>
        <v>3.2766233766233754</v>
      </c>
      <c r="AT27" s="5">
        <f t="shared" si="27"/>
        <v>1.0149999999999999</v>
      </c>
      <c r="AU27" s="5">
        <f t="shared" si="52"/>
        <v>2.2616233766233753</v>
      </c>
      <c r="AV27" s="5">
        <f t="shared" si="28"/>
        <v>0.99428571428571422</v>
      </c>
      <c r="AW27" s="178">
        <f t="shared" si="53"/>
        <v>0.30977011494252882</v>
      </c>
      <c r="AX27" s="178">
        <f t="shared" si="29"/>
        <v>1.0780000000000003</v>
      </c>
      <c r="AY27" s="178">
        <f t="shared" si="30"/>
        <v>0.20016666666666663</v>
      </c>
      <c r="AZ27" s="178">
        <f t="shared" si="54"/>
        <v>5.3855120732722757</v>
      </c>
      <c r="BA27" s="471">
        <f t="shared" si="31"/>
        <v>0.74433333333333329</v>
      </c>
      <c r="BB27" s="5">
        <f t="shared" si="32"/>
        <v>8.7290726817042558E-2</v>
      </c>
      <c r="BC27" s="5"/>
      <c r="BD27" s="178">
        <f t="shared" si="55"/>
        <v>9.3187385889340682E-2</v>
      </c>
      <c r="BE27" s="178">
        <f t="shared" si="33"/>
        <v>0.2782045610297893</v>
      </c>
      <c r="BF27" s="178"/>
      <c r="BG27" s="545">
        <f t="shared" si="34"/>
        <v>3.0393611111111116E-3</v>
      </c>
      <c r="BH27" s="545">
        <f t="shared" si="35"/>
        <v>3.2193965517241387E-2</v>
      </c>
      <c r="BI27" s="545">
        <f t="shared" si="36"/>
        <v>3.8149028933808973E-3</v>
      </c>
      <c r="BJ27" s="545">
        <f t="shared" si="37"/>
        <v>3.5894421323820862E-2</v>
      </c>
      <c r="BK27">
        <f t="shared" si="38"/>
        <v>6.96E-3</v>
      </c>
      <c r="BL27" s="545">
        <f t="shared" si="39"/>
        <v>8.1988996624724753E-2</v>
      </c>
      <c r="BM27" s="471">
        <f t="shared" si="56"/>
        <v>81.988996624724749</v>
      </c>
      <c r="BN27" s="545">
        <f t="shared" si="40"/>
        <v>2.6400000000000003E-2</v>
      </c>
      <c r="BO27" s="545"/>
      <c r="BQ27" s="471">
        <f t="shared" si="57"/>
        <v>26.400000000000002</v>
      </c>
      <c r="BR27" s="545">
        <f t="shared" si="41"/>
        <v>8.2496944444444462E-4</v>
      </c>
      <c r="BS27" s="545">
        <f t="shared" si="42"/>
        <v>6.9657999999999986E-3</v>
      </c>
      <c r="BT27" s="545">
        <f t="shared" si="43"/>
        <v>3.6846707407639208E-3</v>
      </c>
      <c r="BU27" s="545">
        <f t="shared" si="44"/>
        <v>1.1482596846380658E-2</v>
      </c>
      <c r="BV27" s="545">
        <f t="shared" si="45"/>
        <v>5.7750000000000024E-3</v>
      </c>
      <c r="BW27" s="471">
        <f t="shared" si="58"/>
        <v>17.257596846380661</v>
      </c>
      <c r="BX27" s="178">
        <f t="shared" si="59"/>
        <v>0.12564659347110541</v>
      </c>
      <c r="BY27" s="5">
        <f t="shared" si="60"/>
        <v>1.056</v>
      </c>
      <c r="BZ27" s="178">
        <f t="shared" si="61"/>
        <v>0.89366821335132318</v>
      </c>
      <c r="CA27" s="5">
        <f t="shared" si="62"/>
        <v>89.366821335132315</v>
      </c>
      <c r="CD27" s="580">
        <f t="shared" si="46"/>
        <v>-50</v>
      </c>
      <c r="CE27">
        <f t="shared" si="47"/>
        <v>-50</v>
      </c>
    </row>
    <row r="28" spans="5:83" x14ac:dyDescent="0.2">
      <c r="E28" s="175">
        <v>23</v>
      </c>
      <c r="F28" s="222">
        <f t="shared" si="48"/>
        <v>9.2000000000000012E-2</v>
      </c>
      <c r="G28" s="222"/>
      <c r="H28" s="222">
        <f t="shared" si="0"/>
        <v>1.1040000000000001</v>
      </c>
      <c r="I28" s="558">
        <f t="shared" si="1"/>
        <v>24</v>
      </c>
      <c r="J28" s="177">
        <f t="shared" si="2"/>
        <v>24.5</v>
      </c>
      <c r="K28" s="453">
        <f t="shared" si="3"/>
        <v>48.5</v>
      </c>
      <c r="L28" s="453"/>
      <c r="M28" s="222">
        <f t="shared" si="4"/>
        <v>0.50515463917525771</v>
      </c>
      <c r="N28" s="177">
        <f t="shared" si="5"/>
        <v>8.3502061855670089</v>
      </c>
      <c r="O28" s="177">
        <f t="shared" si="49"/>
        <v>1.1040000000000001</v>
      </c>
      <c r="P28" s="222">
        <f t="shared" si="6"/>
        <v>0.69585051546391741</v>
      </c>
      <c r="Q28" s="222">
        <f t="shared" si="7"/>
        <v>12</v>
      </c>
      <c r="R28" s="222">
        <f t="shared" si="8"/>
        <v>0.73247422680412366</v>
      </c>
      <c r="S28" s="177">
        <f t="shared" si="9"/>
        <v>167.69177637721637</v>
      </c>
      <c r="T28" s="177">
        <f t="shared" si="10"/>
        <v>12</v>
      </c>
      <c r="U28" s="222">
        <f t="shared" si="11"/>
        <v>0.19170784103114935</v>
      </c>
      <c r="V28" s="222">
        <f t="shared" si="12"/>
        <v>0.67097744360902267</v>
      </c>
      <c r="W28" s="222">
        <f t="shared" si="13"/>
        <v>0.65728402639251204</v>
      </c>
      <c r="X28" s="202">
        <f t="shared" si="14"/>
        <v>350</v>
      </c>
      <c r="Y28" s="453">
        <f t="shared" si="50"/>
        <v>350</v>
      </c>
      <c r="AA28" s="222">
        <f t="shared" si="15"/>
        <v>0.41237113402061859</v>
      </c>
      <c r="AB28" s="178">
        <f t="shared" si="16"/>
        <v>1.4138438880706923</v>
      </c>
      <c r="AC28" s="178">
        <f t="shared" si="17"/>
        <v>0.20405994260814117</v>
      </c>
      <c r="AD28" s="178"/>
      <c r="AE28" s="178">
        <f t="shared" si="18"/>
        <v>0.99428571428571422</v>
      </c>
      <c r="AF28" s="562">
        <f t="shared" si="63"/>
        <v>319.06460562822048</v>
      </c>
      <c r="AG28" s="545">
        <f t="shared" si="19"/>
        <v>0.10091999999999998</v>
      </c>
      <c r="AI28" s="178">
        <f t="shared" si="20"/>
        <v>0.2840805420755968</v>
      </c>
      <c r="AJ28" s="178">
        <f t="shared" si="21"/>
        <v>0.28999999999999998</v>
      </c>
      <c r="AK28" s="178">
        <f t="shared" si="22"/>
        <v>1.1823226317875546</v>
      </c>
      <c r="AM28" s="562">
        <f t="shared" si="23"/>
        <v>92.000000000000014</v>
      </c>
      <c r="AN28" s="471">
        <f t="shared" si="24"/>
        <v>319.06460562822048</v>
      </c>
      <c r="AP28">
        <f t="shared" si="25"/>
        <v>92.000000000000014</v>
      </c>
      <c r="AQ28" s="471">
        <f t="shared" si="26"/>
        <v>319.06460562822048</v>
      </c>
      <c r="AR28" s="471"/>
      <c r="AS28" s="5">
        <f t="shared" si="51"/>
        <v>3.1341614906832289</v>
      </c>
      <c r="AT28" s="5">
        <f t="shared" si="27"/>
        <v>1.0149999999999999</v>
      </c>
      <c r="AU28" s="5">
        <f t="shared" si="52"/>
        <v>2.1191614906832292</v>
      </c>
      <c r="AV28" s="5">
        <f t="shared" si="28"/>
        <v>0.99428571428571422</v>
      </c>
      <c r="AW28" s="178">
        <f t="shared" si="53"/>
        <v>0.32385057471264372</v>
      </c>
      <c r="AX28" s="178">
        <f t="shared" si="29"/>
        <v>1.1270000000000002</v>
      </c>
      <c r="AY28" s="178">
        <f t="shared" si="30"/>
        <v>0.19608333333333333</v>
      </c>
      <c r="AZ28" s="178">
        <f t="shared" si="54"/>
        <v>5.7475563110922243</v>
      </c>
      <c r="BA28" s="471">
        <f t="shared" si="31"/>
        <v>0.77816666666666667</v>
      </c>
      <c r="BB28" s="5">
        <f t="shared" si="32"/>
        <v>8.5510025062656619E-2</v>
      </c>
      <c r="BC28" s="5"/>
      <c r="BD28" s="178">
        <f t="shared" si="55"/>
        <v>9.5281745949111943E-2</v>
      </c>
      <c r="BE28" s="178">
        <f t="shared" si="33"/>
        <v>0.27535229958888824</v>
      </c>
      <c r="BF28" s="178"/>
      <c r="BG28" s="545">
        <f t="shared" si="34"/>
        <v>3.1775138888888886E-3</v>
      </c>
      <c r="BH28" s="545">
        <f t="shared" si="35"/>
        <v>3.3657327586206903E-2</v>
      </c>
      <c r="BI28" s="545">
        <f t="shared" si="36"/>
        <v>3.9883075703527563E-3</v>
      </c>
      <c r="BJ28" s="545">
        <f t="shared" si="37"/>
        <v>3.7525985929449085E-2</v>
      </c>
      <c r="BK28">
        <f t="shared" si="38"/>
        <v>6.96E-3</v>
      </c>
      <c r="BL28" s="545">
        <f t="shared" si="39"/>
        <v>8.5403164590376224E-2</v>
      </c>
      <c r="BM28" s="471">
        <f t="shared" si="56"/>
        <v>85.403164590376221</v>
      </c>
      <c r="BN28" s="545">
        <f t="shared" si="40"/>
        <v>2.7600000000000003E-2</v>
      </c>
      <c r="BO28" s="545"/>
      <c r="BQ28" s="471">
        <f t="shared" si="57"/>
        <v>27.6</v>
      </c>
      <c r="BR28" s="545">
        <f t="shared" si="41"/>
        <v>8.6246805555555551E-4</v>
      </c>
      <c r="BS28" s="545">
        <f t="shared" si="42"/>
        <v>6.8236999999999976E-3</v>
      </c>
      <c r="BT28" s="545">
        <f t="shared" si="43"/>
        <v>4.1177651499642622E-3</v>
      </c>
      <c r="BU28" s="545">
        <f t="shared" si="44"/>
        <v>1.1811195832408214E-2</v>
      </c>
      <c r="BV28" s="545">
        <f t="shared" si="45"/>
        <v>6.0375000000000021E-3</v>
      </c>
      <c r="BW28" s="471">
        <f t="shared" si="58"/>
        <v>17.848695832408218</v>
      </c>
      <c r="BX28" s="178">
        <f t="shared" si="59"/>
        <v>0.13085186042278443</v>
      </c>
      <c r="BY28" s="5">
        <f t="shared" si="60"/>
        <v>1.1040000000000001</v>
      </c>
      <c r="BZ28" s="178">
        <f t="shared" si="61"/>
        <v>0.89403436588905183</v>
      </c>
      <c r="CA28" s="5">
        <f t="shared" si="62"/>
        <v>89.40343658890518</v>
      </c>
      <c r="CD28" s="580">
        <f t="shared" si="46"/>
        <v>-50</v>
      </c>
      <c r="CE28">
        <f t="shared" si="47"/>
        <v>-50</v>
      </c>
    </row>
    <row r="29" spans="5:83" x14ac:dyDescent="0.2">
      <c r="E29" s="175">
        <v>24</v>
      </c>
      <c r="F29" s="222">
        <f t="shared" si="48"/>
        <v>9.6000000000000002E-2</v>
      </c>
      <c r="G29" s="222"/>
      <c r="H29" s="222">
        <f t="shared" si="0"/>
        <v>1.1520000000000001</v>
      </c>
      <c r="I29" s="558">
        <f t="shared" si="1"/>
        <v>24</v>
      </c>
      <c r="J29" s="177">
        <f t="shared" si="2"/>
        <v>24.5</v>
      </c>
      <c r="K29" s="453">
        <f t="shared" si="3"/>
        <v>48.5</v>
      </c>
      <c r="L29" s="453"/>
      <c r="M29" s="222">
        <f t="shared" si="4"/>
        <v>0.50515463917525771</v>
      </c>
      <c r="N29" s="177">
        <f t="shared" si="5"/>
        <v>8.3502061855670089</v>
      </c>
      <c r="O29" s="177">
        <f t="shared" si="49"/>
        <v>1.1520000000000001</v>
      </c>
      <c r="P29" s="222">
        <f t="shared" si="6"/>
        <v>0.69585051546391741</v>
      </c>
      <c r="Q29" s="222">
        <f t="shared" si="7"/>
        <v>12</v>
      </c>
      <c r="R29" s="222">
        <f t="shared" si="8"/>
        <v>0.73247422680412366</v>
      </c>
      <c r="S29" s="177">
        <f t="shared" si="9"/>
        <v>160.20619669144511</v>
      </c>
      <c r="T29" s="177">
        <f t="shared" si="10"/>
        <v>12</v>
      </c>
      <c r="U29" s="222">
        <f t="shared" si="11"/>
        <v>0.20004296455424281</v>
      </c>
      <c r="V29" s="222">
        <f t="shared" si="12"/>
        <v>0.70015037593984975</v>
      </c>
      <c r="W29" s="222">
        <f t="shared" si="13"/>
        <v>0.68586159275740377</v>
      </c>
      <c r="X29" s="202">
        <f t="shared" si="14"/>
        <v>350</v>
      </c>
      <c r="Y29" s="453">
        <f t="shared" si="50"/>
        <v>350</v>
      </c>
      <c r="AA29" s="222">
        <f t="shared" si="15"/>
        <v>0.41237113402061859</v>
      </c>
      <c r="AB29" s="178">
        <f t="shared" si="16"/>
        <v>1.4138438880706923</v>
      </c>
      <c r="AC29" s="178">
        <f t="shared" si="17"/>
        <v>0.20405994260814117</v>
      </c>
      <c r="AD29" s="178"/>
      <c r="AE29" s="178">
        <f t="shared" si="18"/>
        <v>0.99428571428571422</v>
      </c>
      <c r="AF29" s="562">
        <f t="shared" si="63"/>
        <v>332.93697978596919</v>
      </c>
      <c r="AG29" s="545">
        <f t="shared" si="19"/>
        <v>0.10091999999999998</v>
      </c>
      <c r="AI29" s="178">
        <f t="shared" si="20"/>
        <v>0.29019050004400471</v>
      </c>
      <c r="AJ29" s="178">
        <f t="shared" si="21"/>
        <v>0.29019050004400471</v>
      </c>
      <c r="AK29" s="178">
        <f t="shared" si="22"/>
        <v>1.1902497027348395</v>
      </c>
      <c r="AM29" s="562">
        <f t="shared" si="23"/>
        <v>96</v>
      </c>
      <c r="AN29" s="471">
        <f t="shared" si="24"/>
        <v>332.93697978596919</v>
      </c>
      <c r="AP29">
        <f t="shared" si="25"/>
        <v>96</v>
      </c>
      <c r="AQ29" s="471">
        <f t="shared" si="26"/>
        <v>332.93697978596919</v>
      </c>
      <c r="AR29" s="471"/>
      <c r="AS29" s="5">
        <f t="shared" si="51"/>
        <v>3.0035714285714277</v>
      </c>
      <c r="AT29" s="5">
        <f t="shared" si="27"/>
        <v>1.0156667501540164</v>
      </c>
      <c r="AU29" s="5">
        <f t="shared" si="52"/>
        <v>1.9879046784174113</v>
      </c>
      <c r="AV29" s="5">
        <f t="shared" si="28"/>
        <v>0.99493885729373033</v>
      </c>
      <c r="AW29" s="178">
        <f t="shared" si="53"/>
        <v>0.3381530202653088</v>
      </c>
      <c r="AX29" s="178">
        <f t="shared" si="29"/>
        <v>1.1775455285061649</v>
      </c>
      <c r="AY29" s="178">
        <f t="shared" si="30"/>
        <v>0.19206170600182429</v>
      </c>
      <c r="AZ29" s="178">
        <f t="shared" si="54"/>
        <v>6.1310791881385249</v>
      </c>
      <c r="BA29" s="471">
        <f t="shared" si="31"/>
        <v>0.81253340012321318</v>
      </c>
      <c r="BB29" s="5">
        <f t="shared" si="32"/>
        <v>8.3701249617575219E-2</v>
      </c>
      <c r="BC29" s="5"/>
      <c r="BD29" s="178">
        <f t="shared" si="55"/>
        <v>9.7426970618707504E-2</v>
      </c>
      <c r="BE29" s="178">
        <f t="shared" si="33"/>
        <v>0.27260345437765826</v>
      </c>
      <c r="BF29" s="178"/>
      <c r="BG29" s="545">
        <f t="shared" si="34"/>
        <v>3.3222051113784728E-3</v>
      </c>
      <c r="BH29" s="545">
        <f t="shared" si="35"/>
        <v>3.5143760320430303E-2</v>
      </c>
      <c r="BI29" s="545">
        <f t="shared" si="36"/>
        <v>4.1617122473246145E-3</v>
      </c>
      <c r="BJ29" s="545">
        <f t="shared" si="37"/>
        <v>3.9157550535077301E-2</v>
      </c>
      <c r="BK29">
        <f t="shared" si="38"/>
        <v>6.96E-3</v>
      </c>
      <c r="BL29" s="545">
        <f t="shared" si="39"/>
        <v>8.8847504492238299E-2</v>
      </c>
      <c r="BM29" s="471">
        <f t="shared" si="56"/>
        <v>88.847504492238301</v>
      </c>
      <c r="BN29" s="545">
        <f t="shared" si="40"/>
        <v>2.8799999999999999E-2</v>
      </c>
      <c r="BO29" s="545"/>
      <c r="BQ29" s="471">
        <f t="shared" si="57"/>
        <v>28.8</v>
      </c>
      <c r="BR29" s="545">
        <f t="shared" si="41"/>
        <v>9.0174138737415701E-4</v>
      </c>
      <c r="BS29" s="545">
        <f t="shared" si="42"/>
        <v>6.6881379004768808E-3</v>
      </c>
      <c r="BT29" s="545">
        <f t="shared" si="43"/>
        <v>4.58757386910876E-3</v>
      </c>
      <c r="BU29" s="545">
        <f t="shared" si="44"/>
        <v>1.218485168123187E-2</v>
      </c>
      <c r="BV29" s="545">
        <f t="shared" si="45"/>
        <v>6.3082796169973135E-3</v>
      </c>
      <c r="BW29" s="471">
        <f t="shared" si="58"/>
        <v>18.493131298229184</v>
      </c>
      <c r="BX29" s="178">
        <f t="shared" si="59"/>
        <v>0.13614063579046748</v>
      </c>
      <c r="BY29" s="5">
        <f t="shared" si="60"/>
        <v>1.1520000000000001</v>
      </c>
      <c r="BZ29" s="178">
        <f t="shared" si="61"/>
        <v>0.89431228857482259</v>
      </c>
      <c r="CA29" s="5">
        <f t="shared" si="62"/>
        <v>89.431228857482253</v>
      </c>
      <c r="CD29" s="580">
        <f t="shared" si="46"/>
        <v>-50</v>
      </c>
      <c r="CE29">
        <f t="shared" si="47"/>
        <v>-50</v>
      </c>
    </row>
    <row r="30" spans="5:83" x14ac:dyDescent="0.2">
      <c r="E30" s="175">
        <v>25</v>
      </c>
      <c r="F30" s="222">
        <f t="shared" si="48"/>
        <v>0.1</v>
      </c>
      <c r="G30" s="222"/>
      <c r="H30" s="222">
        <f t="shared" si="0"/>
        <v>1.2000000000000002</v>
      </c>
      <c r="I30" s="558">
        <f t="shared" si="1"/>
        <v>24</v>
      </c>
      <c r="J30" s="177">
        <f t="shared" si="2"/>
        <v>24.5</v>
      </c>
      <c r="K30" s="453">
        <f t="shared" si="3"/>
        <v>48.5</v>
      </c>
      <c r="L30" s="453"/>
      <c r="M30" s="222">
        <f t="shared" si="4"/>
        <v>0.50515463917525771</v>
      </c>
      <c r="N30" s="177">
        <f t="shared" si="5"/>
        <v>8.3502061855670089</v>
      </c>
      <c r="O30" s="177">
        <f t="shared" si="49"/>
        <v>1.2000000000000002</v>
      </c>
      <c r="P30" s="222">
        <f t="shared" si="6"/>
        <v>0.69585051546391741</v>
      </c>
      <c r="Q30" s="222">
        <f t="shared" si="7"/>
        <v>12</v>
      </c>
      <c r="R30" s="222">
        <f t="shared" si="8"/>
        <v>0.73247422680412366</v>
      </c>
      <c r="S30" s="177">
        <f t="shared" si="9"/>
        <v>153.31953512457767</v>
      </c>
      <c r="T30" s="177">
        <f t="shared" si="10"/>
        <v>12</v>
      </c>
      <c r="U30" s="222">
        <f t="shared" si="11"/>
        <v>0.20837808807733627</v>
      </c>
      <c r="V30" s="222">
        <f t="shared" si="12"/>
        <v>0.72932330827067693</v>
      </c>
      <c r="W30" s="222">
        <f t="shared" si="13"/>
        <v>0.71443915912229572</v>
      </c>
      <c r="X30" s="202">
        <f t="shared" si="14"/>
        <v>350</v>
      </c>
      <c r="Y30" s="453">
        <f t="shared" si="50"/>
        <v>350</v>
      </c>
      <c r="AA30" s="222">
        <f t="shared" si="15"/>
        <v>0.41237113402061859</v>
      </c>
      <c r="AB30" s="178">
        <f t="shared" si="16"/>
        <v>1.4138438880706923</v>
      </c>
      <c r="AC30" s="178">
        <f t="shared" si="17"/>
        <v>0.20405994260814117</v>
      </c>
      <c r="AD30" s="178"/>
      <c r="AE30" s="178">
        <f t="shared" si="18"/>
        <v>0.99428571428571422</v>
      </c>
      <c r="AF30" s="562">
        <f t="shared" si="63"/>
        <v>346.80935394371789</v>
      </c>
      <c r="AG30" s="545">
        <f t="shared" si="19"/>
        <v>0.10091999999999998</v>
      </c>
      <c r="AI30" s="178">
        <f t="shared" si="20"/>
        <v>0.2961744388795462</v>
      </c>
      <c r="AJ30" s="178">
        <f t="shared" si="21"/>
        <v>0.2961744388795462</v>
      </c>
      <c r="AK30" s="178">
        <f t="shared" si="22"/>
        <v>1.1981767736821245</v>
      </c>
      <c r="AM30" s="562">
        <f t="shared" si="23"/>
        <v>100</v>
      </c>
      <c r="AN30" s="471">
        <f t="shared" si="24"/>
        <v>346.80935394371789</v>
      </c>
      <c r="AP30">
        <f t="shared" si="25"/>
        <v>100</v>
      </c>
      <c r="AQ30" s="471">
        <f t="shared" si="26"/>
        <v>346.80935394371789</v>
      </c>
      <c r="AR30" s="471"/>
      <c r="AS30" s="5">
        <f t="shared" si="51"/>
        <v>2.8834285714285706</v>
      </c>
      <c r="AT30" s="5">
        <f t="shared" si="27"/>
        <v>1.0366105360784117</v>
      </c>
      <c r="AU30" s="5">
        <f t="shared" si="52"/>
        <v>1.8468180353501589</v>
      </c>
      <c r="AV30" s="5">
        <f t="shared" si="28"/>
        <v>1.0154552190155868</v>
      </c>
      <c r="AW30" s="178">
        <f t="shared" si="53"/>
        <v>0.35950623030860501</v>
      </c>
      <c r="AX30" s="178">
        <f t="shared" si="29"/>
        <v>1.277718672424224</v>
      </c>
      <c r="AY30" s="178">
        <f t="shared" si="30"/>
        <v>0.18969788284419423</v>
      </c>
      <c r="AZ30" s="178">
        <f t="shared" si="54"/>
        <v>6.7355452431362179</v>
      </c>
      <c r="BA30" s="471">
        <f t="shared" si="31"/>
        <v>0.86384211339867634</v>
      </c>
      <c r="BB30" s="5">
        <f t="shared" si="32"/>
        <v>8.100079102412977E-2</v>
      </c>
      <c r="BC30" s="5"/>
      <c r="BD30" s="178">
        <f t="shared" si="55"/>
        <v>0.10252745036915226</v>
      </c>
      <c r="BE30" s="178">
        <f t="shared" si="33"/>
        <v>0.27369974791857132</v>
      </c>
      <c r="BF30" s="178"/>
      <c r="BG30" s="545">
        <f t="shared" si="34"/>
        <v>3.6791573277196424E-3</v>
      </c>
      <c r="BH30" s="545">
        <f t="shared" si="35"/>
        <v>3.7362968935644301E-2</v>
      </c>
      <c r="BI30" s="545">
        <f t="shared" si="36"/>
        <v>4.3351169242964735E-3</v>
      </c>
      <c r="BJ30" s="545">
        <f t="shared" si="37"/>
        <v>4.0789115140705524E-2</v>
      </c>
      <c r="BK30">
        <f t="shared" si="38"/>
        <v>6.96E-3</v>
      </c>
      <c r="BL30" s="545">
        <f t="shared" si="39"/>
        <v>9.3245229959695544E-2</v>
      </c>
      <c r="BM30" s="471">
        <f t="shared" si="56"/>
        <v>93.24522995969555</v>
      </c>
      <c r="BN30" s="545">
        <f t="shared" si="40"/>
        <v>0.03</v>
      </c>
      <c r="BO30" s="545"/>
      <c r="BQ30" s="471">
        <f t="shared" si="57"/>
        <v>30</v>
      </c>
      <c r="BR30" s="545">
        <f t="shared" si="41"/>
        <v>9.9862841752390314E-4</v>
      </c>
      <c r="BS30" s="545">
        <f t="shared" si="42"/>
        <v>6.7420396809620533E-3</v>
      </c>
      <c r="BT30" s="545">
        <f t="shared" si="43"/>
        <v>5.3464553769363805E-3</v>
      </c>
      <c r="BU30" s="545">
        <f t="shared" si="44"/>
        <v>1.3095232743449493E-2</v>
      </c>
      <c r="BV30" s="545">
        <f t="shared" si="45"/>
        <v>6.844921459415486E-3</v>
      </c>
      <c r="BW30" s="471">
        <f t="shared" si="58"/>
        <v>19.940154202864981</v>
      </c>
      <c r="BX30" s="178">
        <f t="shared" si="59"/>
        <v>0.14318538416256052</v>
      </c>
      <c r="BY30" s="5">
        <f t="shared" si="60"/>
        <v>1.2000000000000002</v>
      </c>
      <c r="BZ30" s="178">
        <f t="shared" si="61"/>
        <v>0.89339864336609598</v>
      </c>
      <c r="CA30" s="5">
        <f t="shared" si="62"/>
        <v>89.339864336609594</v>
      </c>
      <c r="CD30" s="580">
        <f t="shared" si="46"/>
        <v>-50</v>
      </c>
      <c r="CE30">
        <f t="shared" si="47"/>
        <v>-50</v>
      </c>
    </row>
    <row r="31" spans="5:83" x14ac:dyDescent="0.2">
      <c r="E31" s="175">
        <v>26</v>
      </c>
      <c r="F31" s="222">
        <f t="shared" si="48"/>
        <v>0.10400000000000001</v>
      </c>
      <c r="G31" s="222"/>
      <c r="H31" s="222">
        <f t="shared" si="0"/>
        <v>1.2480000000000002</v>
      </c>
      <c r="I31" s="558">
        <f t="shared" si="1"/>
        <v>24</v>
      </c>
      <c r="J31" s="177">
        <f t="shared" si="2"/>
        <v>24.5</v>
      </c>
      <c r="K31" s="453">
        <f t="shared" si="3"/>
        <v>48.5</v>
      </c>
      <c r="L31" s="453"/>
      <c r="M31" s="222">
        <f t="shared" si="4"/>
        <v>0.50515463917525771</v>
      </c>
      <c r="N31" s="177">
        <f t="shared" si="5"/>
        <v>8.3502061855670089</v>
      </c>
      <c r="O31" s="177">
        <f t="shared" si="49"/>
        <v>1.2480000000000002</v>
      </c>
      <c r="P31" s="222">
        <f t="shared" si="6"/>
        <v>0.69585051546391741</v>
      </c>
      <c r="Q31" s="222">
        <f t="shared" si="7"/>
        <v>12</v>
      </c>
      <c r="R31" s="222">
        <f t="shared" si="8"/>
        <v>0.73247422680412366</v>
      </c>
      <c r="S31" s="177">
        <f t="shared" si="9"/>
        <v>146.96268637076236</v>
      </c>
      <c r="T31" s="177">
        <f t="shared" si="10"/>
        <v>12</v>
      </c>
      <c r="U31" s="222">
        <f t="shared" si="11"/>
        <v>0.21671321160042972</v>
      </c>
      <c r="V31" s="222">
        <f t="shared" si="12"/>
        <v>0.758496240601504</v>
      </c>
      <c r="W31" s="222">
        <f t="shared" si="13"/>
        <v>0.74301672548718767</v>
      </c>
      <c r="X31" s="202">
        <f t="shared" si="14"/>
        <v>350</v>
      </c>
      <c r="Y31" s="453">
        <f t="shared" si="50"/>
        <v>350</v>
      </c>
      <c r="AA31" s="222">
        <f t="shared" si="15"/>
        <v>0.41237113402061859</v>
      </c>
      <c r="AB31" s="178">
        <f t="shared" si="16"/>
        <v>1.4138438880706923</v>
      </c>
      <c r="AC31" s="178">
        <f t="shared" si="17"/>
        <v>0.20405994260814117</v>
      </c>
      <c r="AD31" s="178"/>
      <c r="AE31" s="178">
        <f t="shared" si="18"/>
        <v>0.99428571428571422</v>
      </c>
      <c r="AF31" s="562">
        <f t="shared" si="63"/>
        <v>360.6817281014666</v>
      </c>
      <c r="AG31" s="545">
        <f t="shared" si="19"/>
        <v>0.10091999999999998</v>
      </c>
      <c r="AI31" s="178">
        <f t="shared" si="20"/>
        <v>0.30203984865483996</v>
      </c>
      <c r="AJ31" s="178">
        <f t="shared" si="21"/>
        <v>0.30203984865483996</v>
      </c>
      <c r="AK31" s="178">
        <f t="shared" si="22"/>
        <v>1.2089184064109926</v>
      </c>
      <c r="AM31" s="562">
        <f t="shared" si="23"/>
        <v>104.00000000000001</v>
      </c>
      <c r="AN31" s="471">
        <f t="shared" si="24"/>
        <v>350</v>
      </c>
      <c r="AP31">
        <f t="shared" si="25"/>
        <v>104.00000000000001</v>
      </c>
      <c r="AQ31" s="471">
        <f t="shared" si="26"/>
        <v>350</v>
      </c>
      <c r="AR31" s="471"/>
      <c r="AS31" s="5">
        <f t="shared" si="51"/>
        <v>2.8571428571428572</v>
      </c>
      <c r="AT31" s="5">
        <f t="shared" si="27"/>
        <v>1.0571394702919397</v>
      </c>
      <c r="AU31" s="5">
        <f t="shared" si="52"/>
        <v>1.8000033868509175</v>
      </c>
      <c r="AV31" s="5">
        <f t="shared" si="28"/>
        <v>1.0355651953880225</v>
      </c>
      <c r="AW31" s="178">
        <f t="shared" si="53"/>
        <v>0.36999881460217887</v>
      </c>
      <c r="AX31" s="178">
        <f t="shared" si="29"/>
        <v>1.3410526315789477</v>
      </c>
      <c r="AY31" s="178">
        <f t="shared" si="30"/>
        <v>0.19028546268992766</v>
      </c>
      <c r="AZ31" s="178">
        <f t="shared" si="54"/>
        <v>7.0475832079942355</v>
      </c>
      <c r="BA31" s="471">
        <f t="shared" si="31"/>
        <v>0.91618754091968113</v>
      </c>
      <c r="BB31" s="5">
        <f t="shared" si="32"/>
        <v>8.2105417645831319E-2</v>
      </c>
      <c r="BC31" s="5"/>
      <c r="BD31" s="178">
        <f t="shared" si="55"/>
        <v>0.10607273891589154</v>
      </c>
      <c r="BE31" s="178">
        <f t="shared" si="33"/>
        <v>0.27682435430451069</v>
      </c>
      <c r="BF31" s="178"/>
      <c r="BG31" s="545">
        <f t="shared" si="34"/>
        <v>3.9379990793916115E-3</v>
      </c>
      <c r="BH31" s="545">
        <f t="shared" si="35"/>
        <v>3.8453448231869317E-2</v>
      </c>
      <c r="BI31" s="545">
        <f t="shared" si="36"/>
        <v>4.3749999999999995E-3</v>
      </c>
      <c r="BJ31" s="545">
        <f t="shared" si="37"/>
        <v>4.1164375000000003E-2</v>
      </c>
      <c r="BK31">
        <f t="shared" si="38"/>
        <v>6.96E-3</v>
      </c>
      <c r="BL31" s="545">
        <f t="shared" si="39"/>
        <v>9.5020479340358344E-2</v>
      </c>
      <c r="BM31" s="471">
        <f t="shared" si="56"/>
        <v>95.020479340358349</v>
      </c>
      <c r="BN31" s="545">
        <f t="shared" si="40"/>
        <v>3.1200000000000002E-2</v>
      </c>
      <c r="BO31" s="545"/>
      <c r="BQ31" s="471">
        <f t="shared" si="57"/>
        <v>31.200000000000003</v>
      </c>
      <c r="BR31" s="545">
        <f t="shared" si="41"/>
        <v>1.0688854644062948E-3</v>
      </c>
      <c r="BS31" s="545">
        <f t="shared" si="42"/>
        <v>6.8968550822498332E-3</v>
      </c>
      <c r="BT31" s="545">
        <f t="shared" si="43"/>
        <v>5.7451414411296151E-3</v>
      </c>
      <c r="BU31" s="545">
        <f t="shared" si="44"/>
        <v>1.3719624945602872E-2</v>
      </c>
      <c r="BV31" s="545">
        <f t="shared" si="45"/>
        <v>7.1842105263157929E-3</v>
      </c>
      <c r="BW31" s="471">
        <f t="shared" si="58"/>
        <v>20.903835471918665</v>
      </c>
      <c r="BX31" s="178">
        <f t="shared" si="59"/>
        <v>0.147124314812277</v>
      </c>
      <c r="BY31" s="5">
        <f t="shared" si="60"/>
        <v>1.2480000000000002</v>
      </c>
      <c r="BZ31" s="178">
        <f t="shared" si="61"/>
        <v>0.89454393902376117</v>
      </c>
      <c r="CA31" s="5">
        <f t="shared" si="62"/>
        <v>89.454393902376111</v>
      </c>
      <c r="CD31" s="580">
        <f t="shared" si="46"/>
        <v>-50</v>
      </c>
      <c r="CE31">
        <f t="shared" si="47"/>
        <v>-50</v>
      </c>
    </row>
    <row r="32" spans="5:83" x14ac:dyDescent="0.2">
      <c r="E32" s="175">
        <v>27</v>
      </c>
      <c r="F32" s="222">
        <f t="shared" si="48"/>
        <v>0.10800000000000001</v>
      </c>
      <c r="G32" s="222"/>
      <c r="H32" s="222">
        <f t="shared" si="0"/>
        <v>1.2960000000000003</v>
      </c>
      <c r="I32" s="558">
        <f t="shared" si="1"/>
        <v>24</v>
      </c>
      <c r="J32" s="177">
        <f t="shared" si="2"/>
        <v>24.5</v>
      </c>
      <c r="K32" s="453">
        <f t="shared" si="3"/>
        <v>48.5</v>
      </c>
      <c r="L32" s="453"/>
      <c r="M32" s="222">
        <f t="shared" si="4"/>
        <v>0.50515463917525771</v>
      </c>
      <c r="N32" s="177">
        <f t="shared" si="5"/>
        <v>8.3502061855670089</v>
      </c>
      <c r="O32" s="177">
        <f t="shared" si="49"/>
        <v>1.2960000000000003</v>
      </c>
      <c r="P32" s="222">
        <f t="shared" si="6"/>
        <v>0.69585051546391741</v>
      </c>
      <c r="Q32" s="222">
        <f t="shared" si="7"/>
        <v>12</v>
      </c>
      <c r="R32" s="222">
        <f t="shared" si="8"/>
        <v>0.73247422680412366</v>
      </c>
      <c r="S32" s="177">
        <f t="shared" si="9"/>
        <v>141.07678295447656</v>
      </c>
      <c r="T32" s="177">
        <f t="shared" si="10"/>
        <v>12</v>
      </c>
      <c r="U32" s="222">
        <f t="shared" si="11"/>
        <v>0.22504833512352318</v>
      </c>
      <c r="V32" s="222">
        <f t="shared" si="12"/>
        <v>0.78766917293233107</v>
      </c>
      <c r="W32" s="222">
        <f t="shared" si="13"/>
        <v>0.77159429185207951</v>
      </c>
      <c r="X32" s="202">
        <f t="shared" si="14"/>
        <v>350</v>
      </c>
      <c r="Y32" s="453">
        <f t="shared" si="50"/>
        <v>350</v>
      </c>
      <c r="AA32" s="222">
        <f t="shared" si="15"/>
        <v>0.41237113402061859</v>
      </c>
      <c r="AB32" s="178">
        <f t="shared" si="16"/>
        <v>1.4138438880706923</v>
      </c>
      <c r="AC32" s="178">
        <f t="shared" si="17"/>
        <v>0.20405994260814117</v>
      </c>
      <c r="AD32" s="178"/>
      <c r="AE32" s="178">
        <f t="shared" si="18"/>
        <v>0.99428571428571422</v>
      </c>
      <c r="AF32" s="562">
        <f t="shared" si="63"/>
        <v>374.55410225921537</v>
      </c>
      <c r="AG32" s="545">
        <f t="shared" si="19"/>
        <v>0.10091999999999998</v>
      </c>
      <c r="AI32" s="178">
        <f t="shared" si="20"/>
        <v>0.30779350562554625</v>
      </c>
      <c r="AJ32" s="178">
        <f t="shared" si="21"/>
        <v>0.30779350562554625</v>
      </c>
      <c r="AK32" s="178">
        <f t="shared" si="22"/>
        <v>1.2131803745374417</v>
      </c>
      <c r="AM32" s="562">
        <f t="shared" si="23"/>
        <v>108.00000000000001</v>
      </c>
      <c r="AN32" s="471">
        <f t="shared" si="24"/>
        <v>350</v>
      </c>
      <c r="AP32">
        <f t="shared" si="25"/>
        <v>108.00000000000001</v>
      </c>
      <c r="AQ32" s="471">
        <f t="shared" si="26"/>
        <v>350</v>
      </c>
      <c r="AR32" s="471"/>
      <c r="AS32" s="5">
        <f t="shared" si="51"/>
        <v>2.8571428571428572</v>
      </c>
      <c r="AT32" s="5">
        <f t="shared" si="27"/>
        <v>1.0772772696894117</v>
      </c>
      <c r="AU32" s="5">
        <f t="shared" si="52"/>
        <v>1.7798655874534455</v>
      </c>
      <c r="AV32" s="5">
        <f t="shared" si="28"/>
        <v>1.055292019287587</v>
      </c>
      <c r="AW32" s="178">
        <f t="shared" si="53"/>
        <v>0.37704704439129411</v>
      </c>
      <c r="AX32" s="178">
        <f t="shared" si="29"/>
        <v>1.3926315789473687</v>
      </c>
      <c r="AY32" s="178">
        <f t="shared" si="30"/>
        <v>0.19174087404659887</v>
      </c>
      <c r="AZ32" s="178">
        <f t="shared" si="54"/>
        <v>7.2630918465976997</v>
      </c>
      <c r="BA32" s="471">
        <f t="shared" si="31"/>
        <v>0.96954954272047067</v>
      </c>
      <c r="BB32" s="5">
        <f t="shared" si="32"/>
        <v>8.4309422563584271E-2</v>
      </c>
      <c r="BC32" s="5"/>
      <c r="BD32" s="178">
        <f t="shared" si="55"/>
        <v>0.10911804969963215</v>
      </c>
      <c r="BE32" s="178">
        <f t="shared" si="33"/>
        <v>0.28051523023301006</v>
      </c>
      <c r="BF32" s="178"/>
      <c r="BG32" s="545">
        <f t="shared" si="34"/>
        <v>4.1673620695879873E-3</v>
      </c>
      <c r="BH32" s="545">
        <f t="shared" si="35"/>
        <v>3.9185960684952351E-2</v>
      </c>
      <c r="BI32" s="545">
        <f t="shared" si="36"/>
        <v>4.3749999999999995E-3</v>
      </c>
      <c r="BJ32" s="545">
        <f t="shared" si="37"/>
        <v>4.1164375000000003E-2</v>
      </c>
      <c r="BK32">
        <f t="shared" si="38"/>
        <v>6.96E-3</v>
      </c>
      <c r="BL32" s="545">
        <f t="shared" si="39"/>
        <v>9.5991308335738518E-2</v>
      </c>
      <c r="BM32" s="471">
        <f t="shared" si="56"/>
        <v>95.991308335738523</v>
      </c>
      <c r="BN32" s="545">
        <f t="shared" si="40"/>
        <v>3.2400000000000005E-2</v>
      </c>
      <c r="BO32" s="545"/>
      <c r="BQ32" s="471">
        <f t="shared" si="57"/>
        <v>32.400000000000006</v>
      </c>
      <c r="BR32" s="545">
        <f t="shared" si="41"/>
        <v>1.1311411331738823E-3</v>
      </c>
      <c r="BS32" s="545">
        <f t="shared" si="42"/>
        <v>7.0819914953410782E-3</v>
      </c>
      <c r="BT32" s="545">
        <f t="shared" si="43"/>
        <v>6.0226655327062601E-3</v>
      </c>
      <c r="BU32" s="545">
        <f t="shared" si="44"/>
        <v>1.4245157950946443E-2</v>
      </c>
      <c r="BV32" s="545">
        <f t="shared" si="45"/>
        <v>7.4605263157894756E-3</v>
      </c>
      <c r="BW32" s="471">
        <f t="shared" si="58"/>
        <v>21.705684266735918</v>
      </c>
      <c r="BX32" s="178">
        <f t="shared" si="59"/>
        <v>0.15009699260247444</v>
      </c>
      <c r="BY32" s="5">
        <f t="shared" si="60"/>
        <v>1.2960000000000003</v>
      </c>
      <c r="BZ32" s="178">
        <f t="shared" si="61"/>
        <v>0.89620544585162876</v>
      </c>
      <c r="CA32" s="5">
        <f t="shared" si="62"/>
        <v>89.620544585162875</v>
      </c>
      <c r="CD32" s="580">
        <f t="shared" si="46"/>
        <v>-50</v>
      </c>
      <c r="CE32">
        <f t="shared" si="47"/>
        <v>-50</v>
      </c>
    </row>
    <row r="33" spans="5:83" x14ac:dyDescent="0.2">
      <c r="E33" s="175">
        <v>28</v>
      </c>
      <c r="F33" s="222">
        <f t="shared" si="48"/>
        <v>0.11200000000000002</v>
      </c>
      <c r="G33" s="222"/>
      <c r="H33" s="222">
        <f t="shared" si="0"/>
        <v>1.3440000000000003</v>
      </c>
      <c r="I33" s="558">
        <f t="shared" si="1"/>
        <v>24</v>
      </c>
      <c r="J33" s="177">
        <f t="shared" si="2"/>
        <v>24.5</v>
      </c>
      <c r="K33" s="453">
        <f t="shared" si="3"/>
        <v>48.5</v>
      </c>
      <c r="L33" s="453"/>
      <c r="M33" s="222">
        <f t="shared" si="4"/>
        <v>0.50515463917525771</v>
      </c>
      <c r="N33" s="177">
        <f t="shared" si="5"/>
        <v>8.3502061855670089</v>
      </c>
      <c r="O33" s="177">
        <f t="shared" si="49"/>
        <v>1.3440000000000003</v>
      </c>
      <c r="P33" s="222">
        <f t="shared" si="6"/>
        <v>0.69585051546391741</v>
      </c>
      <c r="Q33" s="222">
        <f t="shared" si="7"/>
        <v>12</v>
      </c>
      <c r="R33" s="222">
        <f t="shared" si="8"/>
        <v>0.73247422680412366</v>
      </c>
      <c r="S33" s="177">
        <f t="shared" si="9"/>
        <v>135.61136704664096</v>
      </c>
      <c r="T33" s="177">
        <f t="shared" si="10"/>
        <v>12</v>
      </c>
      <c r="U33" s="222">
        <f t="shared" si="11"/>
        <v>0.23338345864661664</v>
      </c>
      <c r="V33" s="222">
        <f t="shared" si="12"/>
        <v>0.81684210526315815</v>
      </c>
      <c r="W33" s="222">
        <f t="shared" si="13"/>
        <v>0.80017185821697123</v>
      </c>
      <c r="X33" s="202">
        <f t="shared" si="14"/>
        <v>350</v>
      </c>
      <c r="Y33" s="453">
        <f t="shared" si="50"/>
        <v>350</v>
      </c>
      <c r="AA33" s="222">
        <f t="shared" si="15"/>
        <v>0.41237113402061859</v>
      </c>
      <c r="AB33" s="178">
        <f t="shared" si="16"/>
        <v>1.4138438880706923</v>
      </c>
      <c r="AC33" s="178">
        <f t="shared" si="17"/>
        <v>0.20405994260814117</v>
      </c>
      <c r="AD33" s="178"/>
      <c r="AE33" s="178">
        <f t="shared" si="18"/>
        <v>0.99428571428571422</v>
      </c>
      <c r="AF33" s="562">
        <f t="shared" si="63"/>
        <v>388.42647641696408</v>
      </c>
      <c r="AG33" s="545">
        <f t="shared" si="19"/>
        <v>0.10091999999999998</v>
      </c>
      <c r="AI33" s="178">
        <f t="shared" si="20"/>
        <v>0.31344156398775153</v>
      </c>
      <c r="AJ33" s="178">
        <f t="shared" si="21"/>
        <v>0.31344156398775153</v>
      </c>
      <c r="AK33" s="178">
        <f t="shared" si="22"/>
        <v>1.2173641214724085</v>
      </c>
      <c r="AM33" s="562">
        <f t="shared" si="23"/>
        <v>112.00000000000001</v>
      </c>
      <c r="AN33" s="471">
        <f t="shared" si="24"/>
        <v>350</v>
      </c>
      <c r="AP33">
        <f t="shared" si="25"/>
        <v>112.00000000000001</v>
      </c>
      <c r="AQ33" s="471">
        <f t="shared" si="26"/>
        <v>350</v>
      </c>
      <c r="AR33" s="471"/>
      <c r="AS33" s="5">
        <f t="shared" si="51"/>
        <v>2.8571428571428572</v>
      </c>
      <c r="AT33" s="5">
        <f t="shared" si="27"/>
        <v>1.0970454739571303</v>
      </c>
      <c r="AU33" s="5">
        <f t="shared" si="52"/>
        <v>1.7600973831857269</v>
      </c>
      <c r="AV33" s="5">
        <f t="shared" si="28"/>
        <v>1.0746567908151479</v>
      </c>
      <c r="AW33" s="178">
        <f t="shared" si="53"/>
        <v>0.38396591588499557</v>
      </c>
      <c r="AX33" s="178">
        <f t="shared" si="29"/>
        <v>1.4442105263157896</v>
      </c>
      <c r="AY33" s="178">
        <f t="shared" si="30"/>
        <v>0.1930906867947691</v>
      </c>
      <c r="AZ33" s="178">
        <f t="shared" si="54"/>
        <v>7.4794416566077171</v>
      </c>
      <c r="BA33" s="471">
        <f t="shared" si="31"/>
        <v>1.023909109026655</v>
      </c>
      <c r="BB33" s="5">
        <f t="shared" si="32"/>
        <v>8.6460924086316421E-2</v>
      </c>
      <c r="BC33" s="5"/>
      <c r="BD33" s="178">
        <f t="shared" si="55"/>
        <v>0.11213528611260334</v>
      </c>
      <c r="BE33" s="178">
        <f t="shared" si="33"/>
        <v>0.2840719318774067</v>
      </c>
      <c r="BF33" s="178"/>
      <c r="BG33" s="545">
        <f t="shared" si="34"/>
        <v>4.401012837044394E-3</v>
      </c>
      <c r="BH33" s="545">
        <f t="shared" si="35"/>
        <v>3.9905029115190609E-2</v>
      </c>
      <c r="BI33" s="545">
        <f t="shared" si="36"/>
        <v>4.3749999999999995E-3</v>
      </c>
      <c r="BJ33" s="545">
        <f t="shared" si="37"/>
        <v>4.1164375000000003E-2</v>
      </c>
      <c r="BK33">
        <f t="shared" si="38"/>
        <v>6.96E-3</v>
      </c>
      <c r="BL33" s="545">
        <f t="shared" si="39"/>
        <v>9.6953265927025578E-2</v>
      </c>
      <c r="BM33" s="471">
        <f t="shared" si="56"/>
        <v>96.953265927025583</v>
      </c>
      <c r="BN33" s="545">
        <f t="shared" si="40"/>
        <v>3.3600000000000005E-2</v>
      </c>
      <c r="BO33" s="545"/>
      <c r="BQ33" s="471">
        <f t="shared" si="57"/>
        <v>33.6</v>
      </c>
      <c r="BR33" s="545">
        <f t="shared" si="41"/>
        <v>1.1945606271977641E-3</v>
      </c>
      <c r="BS33" s="545">
        <f t="shared" si="42"/>
        <v>7.2627176232505797E-3</v>
      </c>
      <c r="BT33" s="545">
        <f t="shared" si="43"/>
        <v>6.3027717442955267E-3</v>
      </c>
      <c r="BU33" s="545">
        <f t="shared" si="44"/>
        <v>1.4770043143915008E-2</v>
      </c>
      <c r="BV33" s="545">
        <f t="shared" si="45"/>
        <v>7.7368421052631592E-3</v>
      </c>
      <c r="BW33" s="471">
        <f t="shared" si="58"/>
        <v>22.506885249178168</v>
      </c>
      <c r="BX33" s="178">
        <f t="shared" si="59"/>
        <v>0.15306015117620375</v>
      </c>
      <c r="BY33" s="5">
        <f t="shared" si="60"/>
        <v>1.3440000000000003</v>
      </c>
      <c r="BZ33" s="178">
        <f t="shared" si="61"/>
        <v>0.89775951817570721</v>
      </c>
      <c r="CA33" s="5">
        <f t="shared" si="62"/>
        <v>89.775951817570714</v>
      </c>
      <c r="CD33" s="580">
        <f t="shared" si="46"/>
        <v>-50</v>
      </c>
      <c r="CE33">
        <f t="shared" si="47"/>
        <v>-50</v>
      </c>
    </row>
    <row r="34" spans="5:83" x14ac:dyDescent="0.2">
      <c r="E34" s="175">
        <v>29</v>
      </c>
      <c r="F34" s="222">
        <f t="shared" si="48"/>
        <v>0.11599999999999999</v>
      </c>
      <c r="G34" s="222"/>
      <c r="H34" s="222">
        <f t="shared" si="0"/>
        <v>1.3919999999999999</v>
      </c>
      <c r="I34" s="558">
        <f t="shared" si="1"/>
        <v>24</v>
      </c>
      <c r="J34" s="177">
        <f t="shared" si="2"/>
        <v>24.5</v>
      </c>
      <c r="K34" s="453">
        <f t="shared" si="3"/>
        <v>48.5</v>
      </c>
      <c r="L34" s="453"/>
      <c r="M34" s="222">
        <f t="shared" si="4"/>
        <v>0.50515463917525771</v>
      </c>
      <c r="N34" s="177">
        <f t="shared" si="5"/>
        <v>8.3502061855670089</v>
      </c>
      <c r="O34" s="177">
        <f t="shared" si="49"/>
        <v>1.3919999999999999</v>
      </c>
      <c r="P34" s="222">
        <f t="shared" si="6"/>
        <v>0.69585051546391741</v>
      </c>
      <c r="Q34" s="222">
        <f t="shared" si="7"/>
        <v>12</v>
      </c>
      <c r="R34" s="222">
        <f t="shared" si="8"/>
        <v>0.73247422680412366</v>
      </c>
      <c r="S34" s="177">
        <f t="shared" si="9"/>
        <v>130.52294052567711</v>
      </c>
      <c r="T34" s="177">
        <f t="shared" si="10"/>
        <v>12</v>
      </c>
      <c r="U34" s="222">
        <f t="shared" si="11"/>
        <v>0.24171858216971001</v>
      </c>
      <c r="V34" s="222">
        <f t="shared" si="12"/>
        <v>0.846015037593985</v>
      </c>
      <c r="W34" s="222">
        <f t="shared" si="13"/>
        <v>0.82874942458186274</v>
      </c>
      <c r="X34" s="202">
        <f t="shared" si="14"/>
        <v>350</v>
      </c>
      <c r="Y34" s="453">
        <f t="shared" si="50"/>
        <v>350</v>
      </c>
      <c r="AA34" s="222">
        <f t="shared" si="15"/>
        <v>0.41237113402061859</v>
      </c>
      <c r="AB34" s="178">
        <f t="shared" si="16"/>
        <v>1.4138438880706923</v>
      </c>
      <c r="AC34" s="178">
        <f t="shared" si="17"/>
        <v>0.20405994260814117</v>
      </c>
      <c r="AD34" s="178"/>
      <c r="AE34" s="178">
        <f t="shared" si="18"/>
        <v>0.99428571428571422</v>
      </c>
      <c r="AF34" s="562">
        <f t="shared" si="63"/>
        <v>402.29885057471273</v>
      </c>
      <c r="AG34" s="545">
        <f t="shared" si="19"/>
        <v>0.10091999999999998</v>
      </c>
      <c r="AI34" s="178">
        <f t="shared" si="20"/>
        <v>0.31898963300538824</v>
      </c>
      <c r="AJ34" s="178">
        <f t="shared" si="21"/>
        <v>0.31898963300538824</v>
      </c>
      <c r="AK34" s="178">
        <f t="shared" si="22"/>
        <v>1.2214738022262135</v>
      </c>
      <c r="AM34" s="562">
        <f t="shared" si="23"/>
        <v>115.99999999999999</v>
      </c>
      <c r="AN34" s="471">
        <f t="shared" si="24"/>
        <v>350</v>
      </c>
      <c r="AP34">
        <f t="shared" si="25"/>
        <v>115.99999999999999</v>
      </c>
      <c r="AQ34" s="471">
        <f t="shared" si="26"/>
        <v>350</v>
      </c>
      <c r="AR34" s="471"/>
      <c r="AS34" s="5">
        <f t="shared" si="51"/>
        <v>2.8571428571428572</v>
      </c>
      <c r="AT34" s="5">
        <f t="shared" si="27"/>
        <v>1.1164637155188588</v>
      </c>
      <c r="AU34" s="5">
        <f t="shared" si="52"/>
        <v>1.7406791416239984</v>
      </c>
      <c r="AV34" s="5">
        <f t="shared" si="28"/>
        <v>1.0936787417327596</v>
      </c>
      <c r="AW34" s="178">
        <f t="shared" si="53"/>
        <v>0.3907623004316006</v>
      </c>
      <c r="AX34" s="178">
        <f t="shared" si="29"/>
        <v>1.4957894736842103</v>
      </c>
      <c r="AY34" s="178">
        <f t="shared" si="30"/>
        <v>0.19434051019837073</v>
      </c>
      <c r="AZ34" s="178">
        <f t="shared" si="54"/>
        <v>7.6967456355723325</v>
      </c>
      <c r="BA34" s="471">
        <f t="shared" si="31"/>
        <v>1.0792482583348968</v>
      </c>
      <c r="BB34" s="5">
        <f t="shared" si="32"/>
        <v>8.8560868608940246E-2</v>
      </c>
      <c r="BC34" s="5"/>
      <c r="BD34" s="178">
        <f t="shared" si="55"/>
        <v>0.11512569643459868</v>
      </c>
      <c r="BE34" s="178">
        <f t="shared" si="33"/>
        <v>0.28750097513169864</v>
      </c>
      <c r="BF34" s="178"/>
      <c r="BG34" s="545">
        <f t="shared" si="34"/>
        <v>4.6388740928429784E-3</v>
      </c>
      <c r="BH34" s="545">
        <f t="shared" si="35"/>
        <v>4.0611367651998485E-2</v>
      </c>
      <c r="BI34" s="545">
        <f t="shared" si="36"/>
        <v>4.3749999999999995E-3</v>
      </c>
      <c r="BJ34" s="545">
        <f t="shared" si="37"/>
        <v>4.1164375000000003E-2</v>
      </c>
      <c r="BK34">
        <f t="shared" si="38"/>
        <v>6.96E-3</v>
      </c>
      <c r="BL34" s="545">
        <f t="shared" si="39"/>
        <v>9.7906989490120666E-2</v>
      </c>
      <c r="BM34" s="471">
        <f t="shared" si="56"/>
        <v>97.906989490120665</v>
      </c>
      <c r="BN34" s="545">
        <f t="shared" si="40"/>
        <v>3.4799999999999998E-2</v>
      </c>
      <c r="BO34" s="545"/>
      <c r="BQ34" s="471">
        <f t="shared" si="57"/>
        <v>34.799999999999997</v>
      </c>
      <c r="BR34" s="545">
        <f t="shared" si="41"/>
        <v>1.2591229680573798E-3</v>
      </c>
      <c r="BS34" s="545">
        <f t="shared" si="42"/>
        <v>7.4391129631509838E-3</v>
      </c>
      <c r="BT34" s="545">
        <f t="shared" si="43"/>
        <v>6.5853905720451075E-3</v>
      </c>
      <c r="BU34" s="545">
        <f t="shared" si="44"/>
        <v>1.5294269156174736E-2</v>
      </c>
      <c r="BV34" s="545">
        <f t="shared" si="45"/>
        <v>8.0131578947368418E-3</v>
      </c>
      <c r="BW34" s="471">
        <f t="shared" si="58"/>
        <v>23.307427050911578</v>
      </c>
      <c r="BX34" s="178">
        <f t="shared" si="59"/>
        <v>0.15601441654103224</v>
      </c>
      <c r="BY34" s="5">
        <f t="shared" si="60"/>
        <v>1.3919999999999999</v>
      </c>
      <c r="BZ34" s="178">
        <f t="shared" si="61"/>
        <v>0.89921643178902733</v>
      </c>
      <c r="CA34" s="5">
        <f t="shared" si="62"/>
        <v>89.921643178902727</v>
      </c>
      <c r="CD34" s="580">
        <f t="shared" si="46"/>
        <v>-50</v>
      </c>
      <c r="CE34">
        <f t="shared" si="47"/>
        <v>-50</v>
      </c>
    </row>
    <row r="35" spans="5:83" x14ac:dyDescent="0.2">
      <c r="E35" s="175">
        <v>30</v>
      </c>
      <c r="F35" s="222">
        <f t="shared" si="48"/>
        <v>0.12</v>
      </c>
      <c r="G35" s="222"/>
      <c r="H35" s="222">
        <f t="shared" si="0"/>
        <v>1.44</v>
      </c>
      <c r="I35" s="558">
        <f t="shared" si="1"/>
        <v>24</v>
      </c>
      <c r="J35" s="177">
        <f t="shared" si="2"/>
        <v>24.5</v>
      </c>
      <c r="K35" s="453">
        <f t="shared" si="3"/>
        <v>48.5</v>
      </c>
      <c r="L35" s="453"/>
      <c r="M35" s="222">
        <f t="shared" si="4"/>
        <v>0.50515463917525771</v>
      </c>
      <c r="N35" s="177">
        <f t="shared" si="5"/>
        <v>8.3502061855670089</v>
      </c>
      <c r="O35" s="177">
        <f t="shared" si="49"/>
        <v>1.44</v>
      </c>
      <c r="P35" s="222">
        <f t="shared" si="6"/>
        <v>0.69585051546391741</v>
      </c>
      <c r="Q35" s="222">
        <f t="shared" si="7"/>
        <v>12</v>
      </c>
      <c r="R35" s="222">
        <f t="shared" si="8"/>
        <v>0.73247422680412366</v>
      </c>
      <c r="S35" s="177">
        <f t="shared" si="9"/>
        <v>125.77380502635491</v>
      </c>
      <c r="T35" s="177">
        <f t="shared" si="10"/>
        <v>12</v>
      </c>
      <c r="U35" s="222">
        <f t="shared" si="11"/>
        <v>0.25005370569280344</v>
      </c>
      <c r="V35" s="222">
        <f t="shared" si="12"/>
        <v>0.87518796992481207</v>
      </c>
      <c r="W35" s="222">
        <f t="shared" si="13"/>
        <v>0.85732699094675469</v>
      </c>
      <c r="X35" s="202">
        <f t="shared" si="14"/>
        <v>350</v>
      </c>
      <c r="Y35" s="453">
        <f t="shared" si="50"/>
        <v>350</v>
      </c>
      <c r="AA35" s="222">
        <f t="shared" si="15"/>
        <v>0.41237113402061859</v>
      </c>
      <c r="AB35" s="178">
        <f t="shared" si="16"/>
        <v>1.4138438880706923</v>
      </c>
      <c r="AC35" s="178">
        <f t="shared" si="17"/>
        <v>0.20405994260814117</v>
      </c>
      <c r="AD35" s="178"/>
      <c r="AE35" s="178">
        <f t="shared" si="18"/>
        <v>0.99428571428571422</v>
      </c>
      <c r="AF35" s="562">
        <f t="shared" si="63"/>
        <v>416.17122473246144</v>
      </c>
      <c r="AG35" s="545">
        <f t="shared" si="19"/>
        <v>0.10091999999999998</v>
      </c>
      <c r="AI35" s="178">
        <f t="shared" si="20"/>
        <v>0.32444284226152509</v>
      </c>
      <c r="AJ35" s="178">
        <f t="shared" si="21"/>
        <v>0.32444284226152509</v>
      </c>
      <c r="AK35" s="178">
        <f t="shared" si="22"/>
        <v>1.2255132164900187</v>
      </c>
      <c r="AM35" s="562">
        <f t="shared" si="23"/>
        <v>120</v>
      </c>
      <c r="AN35" s="471">
        <f t="shared" si="24"/>
        <v>350</v>
      </c>
      <c r="AP35">
        <f t="shared" si="25"/>
        <v>120</v>
      </c>
      <c r="AQ35" s="471">
        <f t="shared" si="26"/>
        <v>350</v>
      </c>
      <c r="AR35" s="471"/>
      <c r="AS35" s="5">
        <f t="shared" si="51"/>
        <v>2.8571428571428572</v>
      </c>
      <c r="AT35" s="5">
        <f t="shared" si="27"/>
        <v>1.1355499479153377</v>
      </c>
      <c r="AU35" s="5">
        <f t="shared" si="52"/>
        <v>1.7215929092275195</v>
      </c>
      <c r="AV35" s="5">
        <f t="shared" si="28"/>
        <v>1.1123754591823716</v>
      </c>
      <c r="AW35" s="178">
        <f t="shared" si="53"/>
        <v>0.39744248177036817</v>
      </c>
      <c r="AX35" s="178">
        <f t="shared" si="29"/>
        <v>1.5473684210526317</v>
      </c>
      <c r="AY35" s="178">
        <f t="shared" si="30"/>
        <v>0.19549547384047247</v>
      </c>
      <c r="AZ35" s="178">
        <f t="shared" si="54"/>
        <v>7.9151112332928477</v>
      </c>
      <c r="BA35" s="471">
        <f t="shared" si="31"/>
        <v>1.1355499479153377</v>
      </c>
      <c r="BB35" s="5">
        <f t="shared" si="32"/>
        <v>9.0610153117237857E-2</v>
      </c>
      <c r="BC35" s="5"/>
      <c r="BD35" s="178">
        <f t="shared" si="55"/>
        <v>0.11809043245562606</v>
      </c>
      <c r="BE35" s="178">
        <f t="shared" si="33"/>
        <v>0.29080831529162876</v>
      </c>
      <c r="BF35" s="178"/>
      <c r="BG35" s="545">
        <f t="shared" si="34"/>
        <v>4.8808725831448732E-3</v>
      </c>
      <c r="BH35" s="545">
        <f t="shared" si="35"/>
        <v>4.1305629355420412E-2</v>
      </c>
      <c r="BI35" s="545">
        <f t="shared" si="36"/>
        <v>4.3749999999999995E-3</v>
      </c>
      <c r="BJ35" s="545">
        <f t="shared" si="37"/>
        <v>4.1164375000000003E-2</v>
      </c>
      <c r="BK35">
        <f t="shared" si="38"/>
        <v>6.96E-3</v>
      </c>
      <c r="BL35" s="545">
        <f t="shared" si="39"/>
        <v>9.8853059442065488E-2</v>
      </c>
      <c r="BM35" s="471">
        <f t="shared" si="56"/>
        <v>98.853059442065486</v>
      </c>
      <c r="BN35" s="545">
        <f t="shared" si="40"/>
        <v>3.5999999999999997E-2</v>
      </c>
      <c r="BO35" s="545"/>
      <c r="BQ35" s="471">
        <f t="shared" si="57"/>
        <v>36</v>
      </c>
      <c r="BR35" s="545">
        <f t="shared" si="41"/>
        <v>1.3248082725678941E-3</v>
      </c>
      <c r="BS35" s="545">
        <f t="shared" si="42"/>
        <v>7.6112528618479825E-3</v>
      </c>
      <c r="BT35" s="545">
        <f t="shared" si="43"/>
        <v>6.8704567271488321E-3</v>
      </c>
      <c r="BU35" s="545">
        <f t="shared" si="44"/>
        <v>1.5817825786223847E-2</v>
      </c>
      <c r="BV35" s="545">
        <f t="shared" si="45"/>
        <v>8.2894736842105288E-3</v>
      </c>
      <c r="BW35" s="471">
        <f t="shared" si="58"/>
        <v>24.107299470434377</v>
      </c>
      <c r="BX35" s="178">
        <f t="shared" si="59"/>
        <v>0.15896035891249988</v>
      </c>
      <c r="BY35" s="5">
        <f t="shared" si="60"/>
        <v>1.44</v>
      </c>
      <c r="BZ35" s="178">
        <f t="shared" si="61"/>
        <v>0.90058517834637652</v>
      </c>
      <c r="CA35" s="5">
        <f t="shared" si="62"/>
        <v>90.058517834637655</v>
      </c>
      <c r="CD35" s="580">
        <f t="shared" si="46"/>
        <v>-50</v>
      </c>
      <c r="CE35">
        <f t="shared" si="47"/>
        <v>-50</v>
      </c>
    </row>
    <row r="36" spans="5:83" x14ac:dyDescent="0.2">
      <c r="E36" s="175">
        <v>31</v>
      </c>
      <c r="F36" s="222">
        <f t="shared" si="48"/>
        <v>0.124</v>
      </c>
      <c r="G36" s="222"/>
      <c r="H36" s="222">
        <f t="shared" si="0"/>
        <v>1.488</v>
      </c>
      <c r="I36" s="558">
        <f t="shared" si="1"/>
        <v>24</v>
      </c>
      <c r="J36" s="177">
        <f t="shared" si="2"/>
        <v>24.5</v>
      </c>
      <c r="K36" s="453">
        <f t="shared" si="3"/>
        <v>48.5</v>
      </c>
      <c r="L36" s="453"/>
      <c r="M36" s="222">
        <f t="shared" si="4"/>
        <v>0.50515463917525771</v>
      </c>
      <c r="N36" s="177">
        <f t="shared" si="5"/>
        <v>8.3502061855670089</v>
      </c>
      <c r="O36" s="177">
        <f t="shared" si="49"/>
        <v>1.488</v>
      </c>
      <c r="P36" s="222">
        <f t="shared" si="6"/>
        <v>0.69585051546391741</v>
      </c>
      <c r="Q36" s="222">
        <f t="shared" si="7"/>
        <v>12</v>
      </c>
      <c r="R36" s="222">
        <f t="shared" si="8"/>
        <v>0.73247422680412366</v>
      </c>
      <c r="S36" s="177">
        <f t="shared" si="9"/>
        <v>121.33112649531695</v>
      </c>
      <c r="T36" s="177">
        <f t="shared" si="10"/>
        <v>12</v>
      </c>
      <c r="U36" s="222">
        <f t="shared" si="11"/>
        <v>0.2583888292158969</v>
      </c>
      <c r="V36" s="222">
        <f t="shared" si="12"/>
        <v>0.90436090225563914</v>
      </c>
      <c r="W36" s="222">
        <f t="shared" si="13"/>
        <v>0.88590455731164652</v>
      </c>
      <c r="X36" s="202">
        <f t="shared" si="14"/>
        <v>350</v>
      </c>
      <c r="Y36" s="453">
        <f t="shared" si="50"/>
        <v>350</v>
      </c>
      <c r="AA36" s="222">
        <f t="shared" si="15"/>
        <v>0.41237113402061859</v>
      </c>
      <c r="AB36" s="178">
        <f t="shared" si="16"/>
        <v>1.4138438880706923</v>
      </c>
      <c r="AC36" s="178">
        <f t="shared" si="17"/>
        <v>0.20405994260814117</v>
      </c>
      <c r="AD36" s="178"/>
      <c r="AE36" s="178">
        <f t="shared" si="18"/>
        <v>0.99428571428571422</v>
      </c>
      <c r="AF36" s="562">
        <f t="shared" si="63"/>
        <v>430.04359889021015</v>
      </c>
      <c r="AG36" s="545">
        <f t="shared" si="19"/>
        <v>0.10091999999999998</v>
      </c>
      <c r="AI36" s="178">
        <f t="shared" si="20"/>
        <v>0.32980589719494313</v>
      </c>
      <c r="AJ36" s="178">
        <f t="shared" si="21"/>
        <v>0.32980589719494313</v>
      </c>
      <c r="AK36" s="178">
        <f t="shared" si="22"/>
        <v>1.229485849774032</v>
      </c>
      <c r="AM36" s="562">
        <f t="shared" si="23"/>
        <v>124</v>
      </c>
      <c r="AN36" s="471">
        <f t="shared" si="24"/>
        <v>350</v>
      </c>
      <c r="AP36">
        <f t="shared" si="25"/>
        <v>124</v>
      </c>
      <c r="AQ36" s="471">
        <f t="shared" si="26"/>
        <v>350</v>
      </c>
      <c r="AR36" s="471"/>
      <c r="AS36" s="5">
        <f t="shared" si="51"/>
        <v>2.8571428571428572</v>
      </c>
      <c r="AT36" s="5">
        <f t="shared" si="27"/>
        <v>1.1543206401823007</v>
      </c>
      <c r="AU36" s="5">
        <f t="shared" si="52"/>
        <v>1.7028222169605565</v>
      </c>
      <c r="AV36" s="5">
        <f t="shared" si="28"/>
        <v>1.1307630760969478</v>
      </c>
      <c r="AW36" s="178">
        <f t="shared" si="53"/>
        <v>0.40401222406380527</v>
      </c>
      <c r="AX36" s="178">
        <f t="shared" si="29"/>
        <v>1.5989473684210525</v>
      </c>
      <c r="AY36" s="178">
        <f t="shared" si="30"/>
        <v>0.19656028315985544</v>
      </c>
      <c r="AZ36" s="178">
        <f t="shared" si="54"/>
        <v>8.1346411529163589</v>
      </c>
      <c r="BA36" s="471">
        <f t="shared" si="31"/>
        <v>1.192797994855044</v>
      </c>
      <c r="BB36" s="5">
        <f t="shared" si="32"/>
        <v>9.2609629343468849E-2</v>
      </c>
      <c r="BC36" s="5"/>
      <c r="BD36" s="178">
        <f t="shared" si="55"/>
        <v>0.12103055989312947</v>
      </c>
      <c r="BE36" s="178">
        <f t="shared" si="33"/>
        <v>0.29399941165571103</v>
      </c>
      <c r="BF36" s="178"/>
      <c r="BG36" s="545">
        <f t="shared" si="34"/>
        <v>5.1269387498155397E-3</v>
      </c>
      <c r="BH36" s="545">
        <f t="shared" si="35"/>
        <v>4.1988413286631193E-2</v>
      </c>
      <c r="BI36" s="545">
        <f t="shared" si="36"/>
        <v>4.3749999999999995E-3</v>
      </c>
      <c r="BJ36" s="545">
        <f t="shared" si="37"/>
        <v>4.1164375000000003E-2</v>
      </c>
      <c r="BK36">
        <f t="shared" si="38"/>
        <v>6.96E-3</v>
      </c>
      <c r="BL36" s="545">
        <f t="shared" si="39"/>
        <v>9.9792005965996758E-2</v>
      </c>
      <c r="BM36" s="471">
        <f t="shared" si="56"/>
        <v>99.792005965996765</v>
      </c>
      <c r="BN36" s="545">
        <f t="shared" si="40"/>
        <v>3.7199999999999997E-2</v>
      </c>
      <c r="BO36" s="545"/>
      <c r="BQ36" s="471">
        <f t="shared" si="57"/>
        <v>37.199999999999996</v>
      </c>
      <c r="BR36" s="545">
        <f t="shared" si="41"/>
        <v>1.3915976606642181E-3</v>
      </c>
      <c r="BS36" s="545">
        <f t="shared" si="42"/>
        <v>7.7792088648513807E-3</v>
      </c>
      <c r="BT36" s="545">
        <f t="shared" si="43"/>
        <v>7.1579087475294829E-3</v>
      </c>
      <c r="BU36" s="545">
        <f t="shared" si="44"/>
        <v>1.6340703867738022E-2</v>
      </c>
      <c r="BV36" s="545">
        <f t="shared" si="45"/>
        <v>8.5657894736842106E-3</v>
      </c>
      <c r="BW36" s="471">
        <f t="shared" si="58"/>
        <v>24.906493341422234</v>
      </c>
      <c r="BX36" s="178">
        <f t="shared" si="59"/>
        <v>0.16189849930741901</v>
      </c>
      <c r="BY36" s="5">
        <f t="shared" si="60"/>
        <v>1.488</v>
      </c>
      <c r="BZ36" s="178">
        <f t="shared" si="61"/>
        <v>0.90187366109164924</v>
      </c>
      <c r="CA36" s="5">
        <f t="shared" si="62"/>
        <v>90.187366109164927</v>
      </c>
      <c r="CD36" s="580">
        <f t="shared" si="46"/>
        <v>-50</v>
      </c>
      <c r="CE36">
        <f t="shared" si="47"/>
        <v>-50</v>
      </c>
    </row>
    <row r="37" spans="5:83" x14ac:dyDescent="0.2">
      <c r="E37" s="175">
        <v>32</v>
      </c>
      <c r="F37" s="222">
        <f t="shared" si="48"/>
        <v>0.128</v>
      </c>
      <c r="G37" s="222"/>
      <c r="H37" s="222">
        <f t="shared" ref="H37:H68" si="64">F37*Vout</f>
        <v>1.536</v>
      </c>
      <c r="I37" s="558">
        <f t="shared" ref="I37:I68" si="65">Vin</f>
        <v>24</v>
      </c>
      <c r="J37" s="177">
        <f t="shared" ref="J37:J68" si="66">(T37+Vfwd1)*Nps</f>
        <v>24.5</v>
      </c>
      <c r="K37" s="453">
        <f t="shared" ref="K37:K68" si="67">(Vout+Vfwd1)*Nps+I37</f>
        <v>48.5</v>
      </c>
      <c r="L37" s="453"/>
      <c r="M37" s="222">
        <f t="shared" ref="M37:M68" si="68">(Vout+Vfwd1)*Nps/((Vout+Vfwd1)*Nps+I37)</f>
        <v>0.50515463917525771</v>
      </c>
      <c r="N37" s="177">
        <f t="shared" si="5"/>
        <v>8.3502061855670089</v>
      </c>
      <c r="O37" s="177">
        <f t="shared" si="49"/>
        <v>1.536</v>
      </c>
      <c r="P37" s="222">
        <f t="shared" ref="P37:P68" si="69">N37/Vout</f>
        <v>0.69585051546391741</v>
      </c>
      <c r="Q37" s="222">
        <f t="shared" ref="Q37:Q68" si="70">MIN(Vout,N37/F37)</f>
        <v>12</v>
      </c>
      <c r="R37" s="222">
        <f t="shared" ref="R37:R68" si="71">Isw_max/2*I37*Nps*(Q37+Vfwd1)/Q37/(I37+Nps*(Q37+Vfwd1))</f>
        <v>0.73247422680412366</v>
      </c>
      <c r="S37" s="177">
        <f t="shared" ref="S37:S68" si="72">(SQRT(Isw_max^2*Nps^2*I37^2+4*Isw_max*F37/Efficiency*(Nps^2*Vfwd1*I37-Nps*I37^2)+4*(F37/Efficiency)^2*Nps^2*Vfwd1^2+8*(F37/Efficiency)^2*Nps*Vfwd1*I37+4*(F37/Efficiency)^2*I37^2)-2*F37/Efficiency*I37-2*F37/Efficiency*Nps*Vfwd1+Isw_max*Nps*I37)/(4*F37/Efficiency*Nps)</f>
        <v>117.166175142443</v>
      </c>
      <c r="T37" s="177">
        <f t="shared" ref="T37:T68" si="73">MIN(Vout, S37)</f>
        <v>12</v>
      </c>
      <c r="U37" s="222">
        <f t="shared" ref="U37:U68" si="74">MIN(2*Vout*F37/(Efficiency*I37*M37), Isw_max)</f>
        <v>0.26672395273899036</v>
      </c>
      <c r="V37" s="222">
        <f t="shared" ref="V37:V68" si="75">L*U37/I37*1000000</f>
        <v>0.93353383458646622</v>
      </c>
      <c r="W37" s="222">
        <f t="shared" ref="W37:W68" si="76">L*U37/J37*1000000</f>
        <v>0.91448212367653825</v>
      </c>
      <c r="X37" s="202">
        <f t="shared" ref="X37:X68" si="77">IF(1/((350000*L)*(1/I37+1/J37))&gt;Isw_min, 350, 0.001/((Isw_min*L)*(1/I37+1/J37)))</f>
        <v>350</v>
      </c>
      <c r="Y37" s="453">
        <f t="shared" si="50"/>
        <v>350</v>
      </c>
      <c r="AA37" s="222">
        <f t="shared" ref="AA37:AA68" si="78">1/((X37*1000*L)*(1/I37+1/J37))</f>
        <v>0.41237113402061859</v>
      </c>
      <c r="AB37" s="178">
        <f t="shared" ref="AB37:AB68" si="79">L*AA37/J37*1000000</f>
        <v>1.4138438880706923</v>
      </c>
      <c r="AC37" s="178">
        <f t="shared" ref="AC37:AC68" si="80">0.5*AB37*AA37*Nps*X37/1000</f>
        <v>0.20405994260814117</v>
      </c>
      <c r="AD37" s="178"/>
      <c r="AE37" s="178">
        <f t="shared" ref="AE37:AE68" si="81">L*Isw_min/J37*1000000</f>
        <v>0.99428571428571422</v>
      </c>
      <c r="AF37" s="562">
        <f t="shared" si="63"/>
        <v>443.91597304795891</v>
      </c>
      <c r="AG37" s="545">
        <f t="shared" ref="AG37:AG68" si="82">0.5*AE37/1000000*Isw_min*Nps*X37*1000</f>
        <v>0.10091999999999998</v>
      </c>
      <c r="AI37" s="178">
        <f t="shared" ref="AI37:AI68" si="83">SQRT(F37/Efficiency/(0.5*L/J37*Fsw_DCM*Nps))</f>
        <v>0.33508312663335643</v>
      </c>
      <c r="AJ37" s="178">
        <f t="shared" ref="AJ37:AJ68" si="84">MAX(IF(F37&gt;AC37,U37,AI37),Isw_min)</f>
        <v>0.33508312663335643</v>
      </c>
      <c r="AK37" s="178">
        <f t="shared" ref="AK37:AK68" si="85">IF(F37&gt;AG37, (AJ37-Isw_min)/1.08*0.8+1.2, AF37*0.2/350+1)</f>
        <v>1.2333949086173011</v>
      </c>
      <c r="AM37" s="562">
        <f t="shared" ref="AM37:AM68" si="86">F37*1000</f>
        <v>128</v>
      </c>
      <c r="AN37" s="471">
        <f t="shared" ref="AN37:AN68" si="87">IF(F37&gt;AG37, Y37, AF37)</f>
        <v>350</v>
      </c>
      <c r="AP37">
        <f t="shared" ref="AP37:AP68" si="88">IF(H37&gt;N37, "",AM37)</f>
        <v>128</v>
      </c>
      <c r="AQ37" s="471">
        <f t="shared" ref="AQ37:AQ68" si="89">IF(H37&gt;N37, "",AN37)</f>
        <v>350</v>
      </c>
      <c r="AR37" s="471"/>
      <c r="AS37" s="5">
        <f t="shared" si="51"/>
        <v>2.8571428571428572</v>
      </c>
      <c r="AT37" s="5">
        <f t="shared" ref="AT37:AT68" si="90">L*AJ37/I37*1000000</f>
        <v>1.1727909432167474</v>
      </c>
      <c r="AU37" s="5">
        <f t="shared" si="52"/>
        <v>1.6843519139261098</v>
      </c>
      <c r="AV37" s="5">
        <f t="shared" ref="AV37:AV68" si="91">L*AJ37/J37*1000000</f>
        <v>1.1488564341715077</v>
      </c>
      <c r="AW37" s="178">
        <f t="shared" si="53"/>
        <v>0.41047683012586156</v>
      </c>
      <c r="AX37" s="178">
        <f t="shared" ref="AX37:AX68" si="92">0.5*L*AJ37^2*AN37*1000</f>
        <v>1.6505263157894741</v>
      </c>
      <c r="AY37" s="178">
        <f t="shared" ref="AY37:AY68" si="93">AJ37*Nps/2*(1-AW37)</f>
        <v>0.19753926698423363</v>
      </c>
      <c r="AZ37" s="178">
        <f t="shared" si="54"/>
        <v>8.3554340409758066</v>
      </c>
      <c r="BA37" s="471">
        <f t="shared" ref="BA37:BA68" si="94">F37*AT37/Vout_ripple*1000</f>
        <v>1.250977006097864</v>
      </c>
      <c r="BB37" s="5">
        <f t="shared" ref="BB37:BB68" si="95">H37/Efficiency/I37*AU37/Vinripple1</f>
        <v>9.4560107448483366E-2</v>
      </c>
      <c r="BC37" s="5"/>
      <c r="BD37" s="178">
        <f t="shared" si="55"/>
        <v>0.12394706738556803</v>
      </c>
      <c r="BE37" s="178">
        <f t="shared" ref="BE37:BE68" si="96">AJ37*Nps*SQRT((1-AW37)/3)</f>
        <v>0.29707928282741486</v>
      </c>
      <c r="BF37" s="178"/>
      <c r="BG37" s="545">
        <f t="shared" ref="BG37:BG68" si="97">Rdson*BD37^2</f>
        <v>5.37700642971889E-3</v>
      </c>
      <c r="BH37" s="545">
        <f t="shared" ref="BH37:BH68" si="98">0.5*K37*AJ37*AN37*1000*Trise</f>
        <v>4.2660270559509189E-2</v>
      </c>
      <c r="BI37" s="545">
        <f t="shared" ref="BI37:BI68" si="99">Qg*Vdd*AN37*1000</f>
        <v>4.3749999999999995E-3</v>
      </c>
      <c r="BJ37" s="545">
        <f t="shared" ref="BJ37:BJ68" si="100">0.5*(Coss+Csw)*K37^2*AN37*1000</f>
        <v>4.1164375000000003E-2</v>
      </c>
      <c r="BK37">
        <f t="shared" ref="BK37:BK68" si="101">I37*IQ</f>
        <v>6.96E-3</v>
      </c>
      <c r="BL37" s="545">
        <f t="shared" ref="BL37:BL68" si="102">(BH37+BI37+BJ37+BK37+BG37*(1+RdsonTC*(Ta-25)))/(1-BG37*RdsonTC*ThetaJA)</f>
        <v>0.10072431475654604</v>
      </c>
      <c r="BM37" s="471">
        <f t="shared" si="56"/>
        <v>100.72431475654605</v>
      </c>
      <c r="BN37" s="545">
        <f t="shared" ref="BN37:BN68" si="103">Vfwd2*F37*(1+Diode_TC/1000*(Ta-25))</f>
        <v>3.8399999999999997E-2</v>
      </c>
      <c r="BO37" s="545"/>
      <c r="BQ37" s="471">
        <f t="shared" si="57"/>
        <v>38.4</v>
      </c>
      <c r="BR37" s="545">
        <f t="shared" ref="BR37:BR68" si="104">Rdcr_pri*BD37^2</f>
        <v>1.4594731737808415E-3</v>
      </c>
      <c r="BS37" s="545">
        <f t="shared" ref="BS37:BS68" si="105">Rdcr_sec*BE37^2</f>
        <v>7.9430490256726036E-3</v>
      </c>
      <c r="BT37" s="545">
        <f t="shared" ref="BT37:BT68" si="106">AJ37^2.5*AN37^2.5*k_core</f>
        <v>7.4476886567327915E-3</v>
      </c>
      <c r="BU37" s="545">
        <f t="shared" ref="BU37:BU68" si="107">(BT37+(BR37+BS37)*(1+Ltc*(Ta-25)))/(1-(BR37+BS37)*Ltc*ThetaCa)</f>
        <v>1.6862895155870247E-2</v>
      </c>
      <c r="BV37" s="545">
        <f t="shared" ref="BV37:BV68" si="108">0.5*Lleak*0.000000001*AJ37^2*AN37*1000</f>
        <v>8.8421052631578977E-3</v>
      </c>
      <c r="BW37" s="471">
        <f t="shared" si="58"/>
        <v>25.705000419028146</v>
      </c>
      <c r="BX37" s="178">
        <f t="shared" si="59"/>
        <v>0.1648293151755742</v>
      </c>
      <c r="BY37" s="5">
        <f t="shared" si="60"/>
        <v>1.536</v>
      </c>
      <c r="BZ37" s="178">
        <f t="shared" si="61"/>
        <v>0.90308885571003983</v>
      </c>
      <c r="CA37" s="5">
        <f t="shared" si="62"/>
        <v>90.308885571003984</v>
      </c>
      <c r="CD37" s="580">
        <f t="shared" ref="CD37:CD68" si="109">IF(ABS(F37-Ioutmax_Vinnom)&lt;Iout/200, AN37, -50)</f>
        <v>-50</v>
      </c>
      <c r="CE37">
        <f t="shared" ref="CE37:CE68" si="110">IF(ABS(F37-Ioutmax_Vinnom)&lt;Iout/200, N37*BZ37, -50)</f>
        <v>-50</v>
      </c>
    </row>
    <row r="38" spans="5:83" x14ac:dyDescent="0.2">
      <c r="E38" s="175">
        <v>33</v>
      </c>
      <c r="F38" s="222">
        <f t="shared" ref="F38:F69" si="111">IF(PLOT_TYPE=1, E38/100*Iout_max, min_I*EXP(N38*rr/100))</f>
        <v>0.13200000000000001</v>
      </c>
      <c r="G38" s="222"/>
      <c r="H38" s="222">
        <f t="shared" si="64"/>
        <v>1.5840000000000001</v>
      </c>
      <c r="I38" s="558">
        <f t="shared" si="65"/>
        <v>24</v>
      </c>
      <c r="J38" s="177">
        <f t="shared" si="66"/>
        <v>24.5</v>
      </c>
      <c r="K38" s="453">
        <f t="shared" si="67"/>
        <v>48.5</v>
      </c>
      <c r="L38" s="453"/>
      <c r="M38" s="222">
        <f t="shared" si="68"/>
        <v>0.50515463917525771</v>
      </c>
      <c r="N38" s="177">
        <f t="shared" si="5"/>
        <v>8.3502061855670089</v>
      </c>
      <c r="O38" s="177">
        <f t="shared" si="49"/>
        <v>1.5840000000000001</v>
      </c>
      <c r="P38" s="222">
        <f t="shared" si="69"/>
        <v>0.69585051546391741</v>
      </c>
      <c r="Q38" s="222">
        <f t="shared" si="70"/>
        <v>12</v>
      </c>
      <c r="R38" s="222">
        <f t="shared" si="71"/>
        <v>0.73247422680412366</v>
      </c>
      <c r="S38" s="177">
        <f t="shared" si="72"/>
        <v>113.25370358287743</v>
      </c>
      <c r="T38" s="177">
        <f t="shared" si="73"/>
        <v>12</v>
      </c>
      <c r="U38" s="222">
        <f t="shared" si="74"/>
        <v>0.27505907626208381</v>
      </c>
      <c r="V38" s="222">
        <f t="shared" si="75"/>
        <v>0.96270676691729318</v>
      </c>
      <c r="W38" s="222">
        <f t="shared" si="76"/>
        <v>0.94305969004143009</v>
      </c>
      <c r="X38" s="202">
        <f t="shared" si="77"/>
        <v>350</v>
      </c>
      <c r="Y38" s="453">
        <f t="shared" si="50"/>
        <v>350</v>
      </c>
      <c r="AA38" s="222">
        <f t="shared" si="78"/>
        <v>0.41237113402061859</v>
      </c>
      <c r="AB38" s="178">
        <f t="shared" si="79"/>
        <v>1.4138438880706923</v>
      </c>
      <c r="AC38" s="178">
        <f t="shared" si="80"/>
        <v>0.20405994260814117</v>
      </c>
      <c r="AD38" s="178"/>
      <c r="AE38" s="178">
        <f t="shared" si="81"/>
        <v>0.99428571428571422</v>
      </c>
      <c r="AF38" s="562">
        <f t="shared" si="63"/>
        <v>457.78834720570762</v>
      </c>
      <c r="AG38" s="545">
        <f t="shared" si="82"/>
        <v>0.10091999999999998</v>
      </c>
      <c r="AI38" s="178">
        <f t="shared" si="83"/>
        <v>0.34027852368936035</v>
      </c>
      <c r="AJ38" s="178">
        <f t="shared" si="84"/>
        <v>0.34027852368936035</v>
      </c>
      <c r="AK38" s="178">
        <f t="shared" si="85"/>
        <v>1.2372433508810077</v>
      </c>
      <c r="AM38" s="562">
        <f t="shared" si="86"/>
        <v>132</v>
      </c>
      <c r="AN38" s="471">
        <f t="shared" si="87"/>
        <v>350</v>
      </c>
      <c r="AP38">
        <f t="shared" si="88"/>
        <v>132</v>
      </c>
      <c r="AQ38" s="471">
        <f t="shared" si="89"/>
        <v>350</v>
      </c>
      <c r="AR38" s="471"/>
      <c r="AS38" s="5">
        <f t="shared" si="51"/>
        <v>2.8571428571428572</v>
      </c>
      <c r="AT38" s="5">
        <f t="shared" si="90"/>
        <v>1.1909748329127612</v>
      </c>
      <c r="AU38" s="5">
        <f t="shared" si="52"/>
        <v>1.666168024230096</v>
      </c>
      <c r="AV38" s="5">
        <f t="shared" si="91"/>
        <v>1.1666692240778069</v>
      </c>
      <c r="AW38" s="178">
        <f t="shared" si="53"/>
        <v>0.41684119151946641</v>
      </c>
      <c r="AX38" s="178">
        <f t="shared" si="92"/>
        <v>1.7021052631578952</v>
      </c>
      <c r="AY38" s="178">
        <f t="shared" si="93"/>
        <v>0.19843641842620241</v>
      </c>
      <c r="AZ38" s="178">
        <f t="shared" si="54"/>
        <v>8.5775850857281029</v>
      </c>
      <c r="BA38" s="471">
        <f t="shared" si="94"/>
        <v>1.3100723162040373</v>
      </c>
      <c r="BB38" s="5">
        <f t="shared" si="95"/>
        <v>9.6462359297531886E-2</v>
      </c>
      <c r="BC38" s="5"/>
      <c r="BD38" s="178">
        <f t="shared" si="55"/>
        <v>0.12684087429523425</v>
      </c>
      <c r="BE38" s="178">
        <f t="shared" si="96"/>
        <v>0.30005255430401373</v>
      </c>
      <c r="BF38" s="178"/>
      <c r="BG38" s="545">
        <f t="shared" si="97"/>
        <v>5.6310125871927947E-3</v>
      </c>
      <c r="BH38" s="545">
        <f t="shared" si="98"/>
        <v>4.3321709547201687E-2</v>
      </c>
      <c r="BI38" s="545">
        <f t="shared" si="99"/>
        <v>4.3749999999999995E-3</v>
      </c>
      <c r="BJ38" s="545">
        <f t="shared" si="100"/>
        <v>4.1164375000000003E-2</v>
      </c>
      <c r="BK38">
        <f t="shared" si="101"/>
        <v>6.96E-3</v>
      </c>
      <c r="BL38" s="545">
        <f t="shared" si="102"/>
        <v>0.10165043195401741</v>
      </c>
      <c r="BM38" s="471">
        <f t="shared" si="56"/>
        <v>101.65043195401741</v>
      </c>
      <c r="BN38" s="545">
        <f t="shared" si="103"/>
        <v>3.9600000000000003E-2</v>
      </c>
      <c r="BO38" s="545"/>
      <c r="BQ38" s="471">
        <f t="shared" si="57"/>
        <v>39.6</v>
      </c>
      <c r="BR38" s="545">
        <f t="shared" si="104"/>
        <v>1.5284177022380444E-3</v>
      </c>
      <c r="BS38" s="545">
        <f t="shared" si="105"/>
        <v>8.1028381809926785E-3</v>
      </c>
      <c r="BT38" s="545">
        <f t="shared" si="106"/>
        <v>7.7397416629889776E-3</v>
      </c>
      <c r="BU38" s="545">
        <f t="shared" si="107"/>
        <v>1.738439222861396E-2</v>
      </c>
      <c r="BV38" s="545">
        <f t="shared" si="108"/>
        <v>9.1184210526315829E-3</v>
      </c>
      <c r="BW38" s="471">
        <f t="shared" si="58"/>
        <v>26.50281328124554</v>
      </c>
      <c r="BX38" s="178">
        <f t="shared" si="59"/>
        <v>0.16775324523526294</v>
      </c>
      <c r="BY38" s="5">
        <f t="shared" si="60"/>
        <v>1.5840000000000001</v>
      </c>
      <c r="BZ38" s="178">
        <f t="shared" si="61"/>
        <v>0.9042369433642844</v>
      </c>
      <c r="CA38" s="5">
        <f t="shared" si="62"/>
        <v>90.42369433642844</v>
      </c>
      <c r="CD38" s="580">
        <f t="shared" si="109"/>
        <v>-50</v>
      </c>
      <c r="CE38">
        <f t="shared" si="110"/>
        <v>-50</v>
      </c>
    </row>
    <row r="39" spans="5:83" x14ac:dyDescent="0.2">
      <c r="E39" s="175">
        <v>34</v>
      </c>
      <c r="F39" s="222">
        <f t="shared" si="111"/>
        <v>0.13600000000000001</v>
      </c>
      <c r="G39" s="222"/>
      <c r="H39" s="222">
        <f t="shared" si="64"/>
        <v>1.6320000000000001</v>
      </c>
      <c r="I39" s="558">
        <f t="shared" si="65"/>
        <v>24</v>
      </c>
      <c r="J39" s="177">
        <f t="shared" si="66"/>
        <v>24.5</v>
      </c>
      <c r="K39" s="453">
        <f t="shared" si="67"/>
        <v>48.5</v>
      </c>
      <c r="L39" s="453"/>
      <c r="M39" s="222">
        <f t="shared" si="68"/>
        <v>0.50515463917525771</v>
      </c>
      <c r="N39" s="177">
        <f t="shared" si="5"/>
        <v>8.3502061855670089</v>
      </c>
      <c r="O39" s="177">
        <f t="shared" si="49"/>
        <v>1.6320000000000001</v>
      </c>
      <c r="P39" s="222">
        <f t="shared" si="69"/>
        <v>0.69585051546391741</v>
      </c>
      <c r="Q39" s="222">
        <f t="shared" si="70"/>
        <v>12</v>
      </c>
      <c r="R39" s="222">
        <f t="shared" si="71"/>
        <v>0.73247422680412366</v>
      </c>
      <c r="S39" s="177">
        <f t="shared" si="72"/>
        <v>109.57143471870046</v>
      </c>
      <c r="T39" s="177">
        <f t="shared" si="73"/>
        <v>12</v>
      </c>
      <c r="U39" s="222">
        <f t="shared" si="74"/>
        <v>0.28339419978517727</v>
      </c>
      <c r="V39" s="222">
        <f t="shared" si="75"/>
        <v>0.99187969924812047</v>
      </c>
      <c r="W39" s="222">
        <f t="shared" si="76"/>
        <v>0.97163725640632215</v>
      </c>
      <c r="X39" s="202">
        <f t="shared" si="77"/>
        <v>350</v>
      </c>
      <c r="Y39" s="453">
        <f t="shared" si="50"/>
        <v>350</v>
      </c>
      <c r="AA39" s="222">
        <f t="shared" si="78"/>
        <v>0.41237113402061859</v>
      </c>
      <c r="AB39" s="178">
        <f t="shared" si="79"/>
        <v>1.4138438880706923</v>
      </c>
      <c r="AC39" s="178">
        <f t="shared" si="80"/>
        <v>0.20405994260814117</v>
      </c>
      <c r="AD39" s="178"/>
      <c r="AE39" s="178">
        <f t="shared" si="81"/>
        <v>0.99428571428571422</v>
      </c>
      <c r="AF39" s="562">
        <f t="shared" si="63"/>
        <v>471.66072136345633</v>
      </c>
      <c r="AG39" s="545">
        <f t="shared" si="82"/>
        <v>0.10091999999999998</v>
      </c>
      <c r="AI39" s="178">
        <f t="shared" si="83"/>
        <v>0.34539578111788671</v>
      </c>
      <c r="AJ39" s="178">
        <f t="shared" si="84"/>
        <v>0.34539578111788671</v>
      </c>
      <c r="AK39" s="178">
        <f t="shared" si="85"/>
        <v>1.2410339119391753</v>
      </c>
      <c r="AM39" s="562">
        <f t="shared" si="86"/>
        <v>136</v>
      </c>
      <c r="AN39" s="471">
        <f t="shared" si="87"/>
        <v>350</v>
      </c>
      <c r="AP39">
        <f t="shared" si="88"/>
        <v>136</v>
      </c>
      <c r="AQ39" s="471">
        <f t="shared" si="89"/>
        <v>350</v>
      </c>
      <c r="AR39" s="471"/>
      <c r="AS39" s="5">
        <f t="shared" si="51"/>
        <v>2.8571428571428572</v>
      </c>
      <c r="AT39" s="5">
        <f t="shared" si="90"/>
        <v>1.2088852339126033</v>
      </c>
      <c r="AU39" s="5">
        <f t="shared" si="52"/>
        <v>1.6482576232302539</v>
      </c>
      <c r="AV39" s="5">
        <f t="shared" si="91"/>
        <v>1.1842141066898972</v>
      </c>
      <c r="AW39" s="178">
        <f t="shared" si="53"/>
        <v>0.42310983186941115</v>
      </c>
      <c r="AX39" s="178">
        <f t="shared" si="92"/>
        <v>1.753684210526316</v>
      </c>
      <c r="AY39" s="178">
        <f t="shared" si="93"/>
        <v>0.19925543024069375</v>
      </c>
      <c r="AZ39" s="178">
        <f t="shared" si="54"/>
        <v>8.8011865393476363</v>
      </c>
      <c r="BA39" s="471">
        <f t="shared" si="94"/>
        <v>1.370069931767617</v>
      </c>
      <c r="BB39" s="5">
        <f t="shared" si="95"/>
        <v>9.8317121385664272E-2</v>
      </c>
      <c r="BC39" s="5"/>
      <c r="BD39" s="178">
        <f t="shared" si="55"/>
        <v>0.12971283750920737</v>
      </c>
      <c r="BE39" s="178">
        <f t="shared" si="96"/>
        <v>0.30292349962757925</v>
      </c>
      <c r="BF39" s="178"/>
      <c r="BG39" s="545">
        <f t="shared" si="97"/>
        <v>5.8888970751415116E-3</v>
      </c>
      <c r="BH39" s="545">
        <f t="shared" si="98"/>
        <v>4.3973200383570943E-2</v>
      </c>
      <c r="BI39" s="545">
        <f t="shared" si="99"/>
        <v>4.3749999999999995E-3</v>
      </c>
      <c r="BJ39" s="545">
        <f t="shared" si="100"/>
        <v>4.1164375000000003E-2</v>
      </c>
      <c r="BK39">
        <f t="shared" si="101"/>
        <v>6.96E-3</v>
      </c>
      <c r="BL39" s="545">
        <f t="shared" si="102"/>
        <v>0.10257076840258364</v>
      </c>
      <c r="BM39" s="471">
        <f t="shared" si="56"/>
        <v>102.57076840258364</v>
      </c>
      <c r="BN39" s="545">
        <f t="shared" si="103"/>
        <v>4.0800000000000003E-2</v>
      </c>
      <c r="BO39" s="545"/>
      <c r="BQ39" s="471">
        <f t="shared" si="57"/>
        <v>40.800000000000004</v>
      </c>
      <c r="BR39" s="545">
        <f t="shared" si="104"/>
        <v>1.5984149203955532E-3</v>
      </c>
      <c r="BS39" s="545">
        <f t="shared" si="105"/>
        <v>8.2586381963958011E-3</v>
      </c>
      <c r="BT39" s="545">
        <f t="shared" si="106"/>
        <v>8.0340158926320328E-3</v>
      </c>
      <c r="BU39" s="545">
        <f t="shared" si="107"/>
        <v>1.7905188400874072E-2</v>
      </c>
      <c r="BV39" s="545">
        <f t="shared" si="108"/>
        <v>9.3947368421052647E-3</v>
      </c>
      <c r="BW39" s="471">
        <f t="shared" si="58"/>
        <v>27.299925242979338</v>
      </c>
      <c r="BX39" s="178">
        <f t="shared" si="59"/>
        <v>0.17067069364556298</v>
      </c>
      <c r="BY39" s="5">
        <f t="shared" si="60"/>
        <v>1.6320000000000001</v>
      </c>
      <c r="BZ39" s="178">
        <f t="shared" si="61"/>
        <v>0.90532342138407229</v>
      </c>
      <c r="CA39" s="5">
        <f t="shared" si="62"/>
        <v>90.53234213840723</v>
      </c>
      <c r="CD39" s="580">
        <f t="shared" si="109"/>
        <v>-50</v>
      </c>
      <c r="CE39">
        <f t="shared" si="110"/>
        <v>-50</v>
      </c>
    </row>
    <row r="40" spans="5:83" x14ac:dyDescent="0.2">
      <c r="E40" s="175">
        <v>35</v>
      </c>
      <c r="F40" s="222">
        <f t="shared" si="111"/>
        <v>0.13999999999999999</v>
      </c>
      <c r="G40" s="222"/>
      <c r="H40" s="222">
        <f t="shared" si="64"/>
        <v>1.6799999999999997</v>
      </c>
      <c r="I40" s="558">
        <f t="shared" si="65"/>
        <v>24</v>
      </c>
      <c r="J40" s="177">
        <f t="shared" si="66"/>
        <v>24.5</v>
      </c>
      <c r="K40" s="453">
        <f t="shared" si="67"/>
        <v>48.5</v>
      </c>
      <c r="L40" s="453"/>
      <c r="M40" s="222">
        <f t="shared" si="68"/>
        <v>0.50515463917525771</v>
      </c>
      <c r="N40" s="177">
        <f t="shared" si="5"/>
        <v>8.3502061855670089</v>
      </c>
      <c r="O40" s="177">
        <f t="shared" si="49"/>
        <v>1.6799999999999997</v>
      </c>
      <c r="P40" s="222">
        <f t="shared" si="69"/>
        <v>0.69585051546391741</v>
      </c>
      <c r="Q40" s="222">
        <f t="shared" si="70"/>
        <v>12</v>
      </c>
      <c r="R40" s="222">
        <f t="shared" si="71"/>
        <v>0.73247422680412366</v>
      </c>
      <c r="S40" s="177">
        <f t="shared" si="72"/>
        <v>106.09963741231414</v>
      </c>
      <c r="T40" s="177">
        <f t="shared" si="73"/>
        <v>12</v>
      </c>
      <c r="U40" s="222">
        <f t="shared" si="74"/>
        <v>0.29172932330827067</v>
      </c>
      <c r="V40" s="222">
        <f t="shared" si="75"/>
        <v>1.0210526315789472</v>
      </c>
      <c r="W40" s="222">
        <f t="shared" si="76"/>
        <v>1.0002148227712138</v>
      </c>
      <c r="X40" s="202">
        <f t="shared" si="77"/>
        <v>350</v>
      </c>
      <c r="Y40" s="453">
        <f t="shared" si="50"/>
        <v>350</v>
      </c>
      <c r="AA40" s="222">
        <f t="shared" si="78"/>
        <v>0.41237113402061859</v>
      </c>
      <c r="AB40" s="178">
        <f t="shared" si="79"/>
        <v>1.4138438880706923</v>
      </c>
      <c r="AC40" s="178">
        <f t="shared" si="80"/>
        <v>0.20405994260814117</v>
      </c>
      <c r="AD40" s="178"/>
      <c r="AE40" s="178">
        <f t="shared" si="81"/>
        <v>0.99428571428571422</v>
      </c>
      <c r="AF40" s="562">
        <f t="shared" ref="AF40:AF71" si="112">MAX(10000,F40/(0.5*AE40/1000000*Isw_min*Nps))/1000</f>
        <v>485.53309552120498</v>
      </c>
      <c r="AG40" s="545">
        <f t="shared" si="82"/>
        <v>0.10091999999999998</v>
      </c>
      <c r="AI40" s="178">
        <f t="shared" si="83"/>
        <v>0.35043832202523117</v>
      </c>
      <c r="AJ40" s="178">
        <f t="shared" si="84"/>
        <v>0.35043832202523117</v>
      </c>
      <c r="AK40" s="178">
        <f t="shared" si="85"/>
        <v>1.244769127426097</v>
      </c>
      <c r="AM40" s="562">
        <f t="shared" si="86"/>
        <v>139.99999999999997</v>
      </c>
      <c r="AN40" s="471">
        <f t="shared" si="87"/>
        <v>350</v>
      </c>
      <c r="AP40">
        <f t="shared" si="88"/>
        <v>139.99999999999997</v>
      </c>
      <c r="AQ40" s="471">
        <f t="shared" si="89"/>
        <v>350</v>
      </c>
      <c r="AR40" s="471"/>
      <c r="AS40" s="5">
        <f t="shared" si="51"/>
        <v>2.8571428571428572</v>
      </c>
      <c r="AT40" s="5">
        <f t="shared" si="90"/>
        <v>1.2265341270883092</v>
      </c>
      <c r="AU40" s="5">
        <f t="shared" si="52"/>
        <v>1.630608730054548</v>
      </c>
      <c r="AV40" s="5">
        <f t="shared" si="91"/>
        <v>1.2015028183722212</v>
      </c>
      <c r="AW40" s="178">
        <f t="shared" si="53"/>
        <v>0.42928694448090821</v>
      </c>
      <c r="AX40" s="178">
        <f t="shared" si="92"/>
        <v>1.8052631578947362</v>
      </c>
      <c r="AY40" s="178">
        <f t="shared" si="93"/>
        <v>0.19999972553400314</v>
      </c>
      <c r="AZ40" s="178">
        <f t="shared" si="54"/>
        <v>9.0263281765744861</v>
      </c>
      <c r="BA40" s="471">
        <f t="shared" si="94"/>
        <v>1.4309564816030274</v>
      </c>
      <c r="BB40" s="5">
        <f t="shared" si="95"/>
        <v>0.10012509745948976</v>
      </c>
      <c r="BC40" s="5"/>
      <c r="BD40" s="178">
        <f t="shared" si="55"/>
        <v>0.13256375739270618</v>
      </c>
      <c r="BE40" s="178">
        <f t="shared" si="96"/>
        <v>0.30569607613149119</v>
      </c>
      <c r="BF40" s="178"/>
      <c r="BG40" s="545">
        <f t="shared" si="97"/>
        <v>6.150602420925291E-3</v>
      </c>
      <c r="BH40" s="545">
        <f t="shared" si="98"/>
        <v>4.4615178872837238E-2</v>
      </c>
      <c r="BI40" s="545">
        <f t="shared" si="99"/>
        <v>4.3749999999999995E-3</v>
      </c>
      <c r="BJ40" s="545">
        <f t="shared" si="100"/>
        <v>4.1164375000000003E-2</v>
      </c>
      <c r="BK40">
        <f t="shared" si="101"/>
        <v>6.96E-3</v>
      </c>
      <c r="BL40" s="545">
        <f t="shared" si="102"/>
        <v>0.10348570334192836</v>
      </c>
      <c r="BM40" s="471">
        <f t="shared" si="56"/>
        <v>103.48570334192836</v>
      </c>
      <c r="BN40" s="545">
        <f t="shared" si="103"/>
        <v>4.1999999999999996E-2</v>
      </c>
      <c r="BO40" s="545"/>
      <c r="BQ40" s="471">
        <f t="shared" si="57"/>
        <v>41.999999999999993</v>
      </c>
      <c r="BR40" s="545">
        <f t="shared" si="104"/>
        <v>1.6694492285368647E-3</v>
      </c>
      <c r="BS40" s="545">
        <f t="shared" si="105"/>
        <v>8.4105081865971411E-3</v>
      </c>
      <c r="BT40" s="545">
        <f t="shared" si="106"/>
        <v>8.3304621530540541E-3</v>
      </c>
      <c r="BU40" s="545">
        <f t="shared" si="107"/>
        <v>1.8425277649313426E-2</v>
      </c>
      <c r="BV40" s="545">
        <f t="shared" si="108"/>
        <v>9.6710526315789466E-3</v>
      </c>
      <c r="BW40" s="471">
        <f t="shared" si="58"/>
        <v>28.096330280892374</v>
      </c>
      <c r="BX40" s="178">
        <f t="shared" si="59"/>
        <v>0.17358203362282071</v>
      </c>
      <c r="BY40" s="5">
        <f t="shared" si="60"/>
        <v>1.6799999999999997</v>
      </c>
      <c r="BZ40" s="178">
        <f t="shared" si="61"/>
        <v>0.90635319588011165</v>
      </c>
      <c r="CA40" s="5">
        <f t="shared" si="62"/>
        <v>90.635319588011171</v>
      </c>
      <c r="CD40" s="580">
        <f t="shared" si="109"/>
        <v>-50</v>
      </c>
      <c r="CE40">
        <f t="shared" si="110"/>
        <v>-50</v>
      </c>
    </row>
    <row r="41" spans="5:83" x14ac:dyDescent="0.2">
      <c r="E41" s="175">
        <v>36</v>
      </c>
      <c r="F41" s="222">
        <f t="shared" si="111"/>
        <v>0.14399999999999999</v>
      </c>
      <c r="G41" s="222"/>
      <c r="H41" s="222">
        <f t="shared" si="64"/>
        <v>1.7279999999999998</v>
      </c>
      <c r="I41" s="558">
        <f t="shared" si="65"/>
        <v>24</v>
      </c>
      <c r="J41" s="177">
        <f t="shared" si="66"/>
        <v>24.5</v>
      </c>
      <c r="K41" s="453">
        <f t="shared" si="67"/>
        <v>48.5</v>
      </c>
      <c r="L41" s="453"/>
      <c r="M41" s="222">
        <f t="shared" si="68"/>
        <v>0.50515463917525771</v>
      </c>
      <c r="N41" s="177">
        <f t="shared" si="5"/>
        <v>8.3502061855670089</v>
      </c>
      <c r="O41" s="177">
        <f t="shared" si="49"/>
        <v>1.7279999999999998</v>
      </c>
      <c r="P41" s="222">
        <f t="shared" si="69"/>
        <v>0.69585051546391741</v>
      </c>
      <c r="Q41" s="222">
        <f t="shared" si="70"/>
        <v>12</v>
      </c>
      <c r="R41" s="222">
        <f t="shared" si="71"/>
        <v>0.73247422680412366</v>
      </c>
      <c r="S41" s="177">
        <f t="shared" si="72"/>
        <v>102.82077288093234</v>
      </c>
      <c r="T41" s="177">
        <f t="shared" si="73"/>
        <v>12</v>
      </c>
      <c r="U41" s="222">
        <f t="shared" si="74"/>
        <v>0.30006444683136413</v>
      </c>
      <c r="V41" s="222">
        <f t="shared" si="75"/>
        <v>1.0502255639097744</v>
      </c>
      <c r="W41" s="222">
        <f t="shared" si="76"/>
        <v>1.0287923891361055</v>
      </c>
      <c r="X41" s="202">
        <f t="shared" si="77"/>
        <v>350</v>
      </c>
      <c r="Y41" s="453">
        <f t="shared" si="50"/>
        <v>350</v>
      </c>
      <c r="AA41" s="222">
        <f t="shared" si="78"/>
        <v>0.41237113402061859</v>
      </c>
      <c r="AB41" s="178">
        <f t="shared" si="79"/>
        <v>1.4138438880706923</v>
      </c>
      <c r="AC41" s="178">
        <f t="shared" si="80"/>
        <v>0.20405994260814117</v>
      </c>
      <c r="AD41" s="178"/>
      <c r="AE41" s="178">
        <f t="shared" si="81"/>
        <v>0.99428571428571422</v>
      </c>
      <c r="AF41" s="562">
        <f t="shared" si="112"/>
        <v>499.40546967895369</v>
      </c>
      <c r="AG41" s="545">
        <f t="shared" si="82"/>
        <v>0.10091999999999998</v>
      </c>
      <c r="AI41" s="178">
        <f t="shared" si="83"/>
        <v>0.35540932665545544</v>
      </c>
      <c r="AJ41" s="178">
        <f t="shared" si="84"/>
        <v>0.35540932665545544</v>
      </c>
      <c r="AK41" s="178">
        <f t="shared" si="85"/>
        <v>1.2484513530781152</v>
      </c>
      <c r="AM41" s="562">
        <f t="shared" si="86"/>
        <v>144</v>
      </c>
      <c r="AN41" s="471">
        <f t="shared" si="87"/>
        <v>350</v>
      </c>
      <c r="AP41">
        <f t="shared" si="88"/>
        <v>144</v>
      </c>
      <c r="AQ41" s="471">
        <f t="shared" si="89"/>
        <v>350</v>
      </c>
      <c r="AR41" s="471"/>
      <c r="AS41" s="5">
        <f t="shared" si="51"/>
        <v>2.8571428571428572</v>
      </c>
      <c r="AT41" s="5">
        <f t="shared" si="90"/>
        <v>1.2439326432940938</v>
      </c>
      <c r="AU41" s="5">
        <f t="shared" si="52"/>
        <v>1.6132102138487634</v>
      </c>
      <c r="AV41" s="5">
        <f t="shared" si="91"/>
        <v>1.2185462628187043</v>
      </c>
      <c r="AW41" s="178">
        <f t="shared" si="53"/>
        <v>0.43537642515293284</v>
      </c>
      <c r="AX41" s="178">
        <f t="shared" si="92"/>
        <v>1.8568421052631578</v>
      </c>
      <c r="AY41" s="178">
        <f t="shared" si="93"/>
        <v>0.20067248455019229</v>
      </c>
      <c r="AZ41" s="178">
        <f t="shared" si="54"/>
        <v>9.2530977000921304</v>
      </c>
      <c r="BA41" s="471">
        <f t="shared" si="94"/>
        <v>1.4927191719529127</v>
      </c>
      <c r="BB41" s="5">
        <f t="shared" si="95"/>
        <v>0.10188696087465872</v>
      </c>
      <c r="BC41" s="5"/>
      <c r="BD41" s="178">
        <f t="shared" si="55"/>
        <v>0.13539438302162946</v>
      </c>
      <c r="BE41" s="178">
        <f t="shared" si="96"/>
        <v>0.30837395612526713</v>
      </c>
      <c r="BF41" s="178"/>
      <c r="BG41" s="545">
        <f t="shared" si="97"/>
        <v>6.416073633832696E-3</v>
      </c>
      <c r="BH41" s="545">
        <f t="shared" si="98"/>
        <v>4.5248049899822666E-2</v>
      </c>
      <c r="BI41" s="545">
        <f t="shared" si="99"/>
        <v>4.3749999999999995E-3</v>
      </c>
      <c r="BJ41" s="545">
        <f t="shared" si="100"/>
        <v>4.1164375000000003E-2</v>
      </c>
      <c r="BK41">
        <f t="shared" si="101"/>
        <v>6.96E-3</v>
      </c>
      <c r="BL41" s="545">
        <f t="shared" si="102"/>
        <v>0.10439558762146436</v>
      </c>
      <c r="BM41" s="471">
        <f t="shared" si="56"/>
        <v>104.39558762146436</v>
      </c>
      <c r="BN41" s="545">
        <f t="shared" si="103"/>
        <v>4.3199999999999995E-2</v>
      </c>
      <c r="BO41" s="545"/>
      <c r="BQ41" s="471">
        <f t="shared" si="57"/>
        <v>43.199999999999996</v>
      </c>
      <c r="BR41" s="545">
        <f t="shared" si="104"/>
        <v>1.7415057006117318E-3</v>
      </c>
      <c r="BS41" s="545">
        <f t="shared" si="105"/>
        <v>8.5585047134713356E-3</v>
      </c>
      <c r="BT41" s="545">
        <f t="shared" si="106"/>
        <v>8.6290337211682167E-3</v>
      </c>
      <c r="BU41" s="545">
        <f t="shared" si="107"/>
        <v>1.89446545463808E-2</v>
      </c>
      <c r="BV41" s="545">
        <f t="shared" si="108"/>
        <v>9.9473684210526318E-3</v>
      </c>
      <c r="BW41" s="471">
        <f t="shared" si="58"/>
        <v>28.89202296743343</v>
      </c>
      <c r="BX41" s="178">
        <f t="shared" si="59"/>
        <v>0.17648761058889778</v>
      </c>
      <c r="BY41" s="5">
        <f t="shared" si="60"/>
        <v>1.7279999999999998</v>
      </c>
      <c r="BZ41" s="178">
        <f t="shared" si="61"/>
        <v>0.90733065964428883</v>
      </c>
      <c r="CA41" s="5">
        <f t="shared" si="62"/>
        <v>90.733065964428889</v>
      </c>
      <c r="CD41" s="580">
        <f t="shared" si="109"/>
        <v>-50</v>
      </c>
      <c r="CE41">
        <f t="shared" si="110"/>
        <v>-50</v>
      </c>
    </row>
    <row r="42" spans="5:83" x14ac:dyDescent="0.2">
      <c r="E42" s="175">
        <v>37</v>
      </c>
      <c r="F42" s="222">
        <f t="shared" si="111"/>
        <v>0.14799999999999999</v>
      </c>
      <c r="G42" s="222"/>
      <c r="H42" s="222">
        <f t="shared" si="64"/>
        <v>1.7759999999999998</v>
      </c>
      <c r="I42" s="558">
        <f t="shared" si="65"/>
        <v>24</v>
      </c>
      <c r="J42" s="177">
        <f t="shared" si="66"/>
        <v>24.5</v>
      </c>
      <c r="K42" s="453">
        <f t="shared" si="67"/>
        <v>48.5</v>
      </c>
      <c r="L42" s="453"/>
      <c r="M42" s="222">
        <f t="shared" si="68"/>
        <v>0.50515463917525771</v>
      </c>
      <c r="N42" s="177">
        <f t="shared" si="5"/>
        <v>8.3502061855670089</v>
      </c>
      <c r="O42" s="177">
        <f t="shared" si="49"/>
        <v>1.7759999999999998</v>
      </c>
      <c r="P42" s="222">
        <f t="shared" si="69"/>
        <v>0.69585051546391741</v>
      </c>
      <c r="Q42" s="222">
        <f t="shared" si="70"/>
        <v>12</v>
      </c>
      <c r="R42" s="222">
        <f t="shared" si="71"/>
        <v>0.73247422680412366</v>
      </c>
      <c r="S42" s="177">
        <f t="shared" si="72"/>
        <v>99.719198432506516</v>
      </c>
      <c r="T42" s="177">
        <f t="shared" si="73"/>
        <v>12</v>
      </c>
      <c r="U42" s="222">
        <f t="shared" si="74"/>
        <v>0.30839957035445759</v>
      </c>
      <c r="V42" s="222">
        <f t="shared" si="75"/>
        <v>1.0793984962406014</v>
      </c>
      <c r="W42" s="222">
        <f t="shared" si="76"/>
        <v>1.0573699555009972</v>
      </c>
      <c r="X42" s="202">
        <f t="shared" si="77"/>
        <v>350</v>
      </c>
      <c r="Y42" s="453">
        <f t="shared" si="50"/>
        <v>350</v>
      </c>
      <c r="AA42" s="222">
        <f t="shared" si="78"/>
        <v>0.41237113402061859</v>
      </c>
      <c r="AB42" s="178">
        <f t="shared" si="79"/>
        <v>1.4138438880706923</v>
      </c>
      <c r="AC42" s="178">
        <f t="shared" si="80"/>
        <v>0.20405994260814117</v>
      </c>
      <c r="AD42" s="178"/>
      <c r="AE42" s="178">
        <f t="shared" si="81"/>
        <v>0.99428571428571422</v>
      </c>
      <c r="AF42" s="562">
        <f t="shared" si="112"/>
        <v>513.27784383670246</v>
      </c>
      <c r="AG42" s="545">
        <f t="shared" si="82"/>
        <v>0.10091999999999998</v>
      </c>
      <c r="AI42" s="178">
        <f t="shared" si="83"/>
        <v>0.36031175584972075</v>
      </c>
      <c r="AJ42" s="178">
        <f t="shared" si="84"/>
        <v>0.36031175584972075</v>
      </c>
      <c r="AK42" s="178">
        <f t="shared" si="85"/>
        <v>1.2520827821109042</v>
      </c>
      <c r="AM42" s="562">
        <f t="shared" si="86"/>
        <v>148</v>
      </c>
      <c r="AN42" s="471">
        <f t="shared" si="87"/>
        <v>350</v>
      </c>
      <c r="AP42">
        <f t="shared" si="88"/>
        <v>148</v>
      </c>
      <c r="AQ42" s="471">
        <f t="shared" si="89"/>
        <v>350</v>
      </c>
      <c r="AR42" s="471"/>
      <c r="AS42" s="5">
        <f t="shared" si="51"/>
        <v>2.8571428571428572</v>
      </c>
      <c r="AT42" s="5">
        <f t="shared" si="90"/>
        <v>1.2610911454740226</v>
      </c>
      <c r="AU42" s="5">
        <f t="shared" si="52"/>
        <v>1.5960517116688346</v>
      </c>
      <c r="AV42" s="5">
        <f t="shared" si="91"/>
        <v>1.2353545914847568</v>
      </c>
      <c r="AW42" s="178">
        <f t="shared" si="53"/>
        <v>0.4413819009159079</v>
      </c>
      <c r="AX42" s="178">
        <f t="shared" si="92"/>
        <v>1.908421052631579</v>
      </c>
      <c r="AY42" s="178">
        <f t="shared" si="93"/>
        <v>0.2012766681304225</v>
      </c>
      <c r="AZ42" s="178">
        <f t="shared" si="54"/>
        <v>9.4815811010691391</v>
      </c>
      <c r="BA42" s="471">
        <f t="shared" si="94"/>
        <v>1.5553457460846278</v>
      </c>
      <c r="BB42" s="5">
        <f t="shared" si="95"/>
        <v>0.10360335672236293</v>
      </c>
      <c r="BC42" s="5"/>
      <c r="BD42" s="178">
        <f t="shared" si="55"/>
        <v>0.13820541679911913</v>
      </c>
      <c r="BE42" s="178">
        <f t="shared" si="96"/>
        <v>0.31096055420938107</v>
      </c>
      <c r="BF42" s="178"/>
      <c r="BG42" s="545">
        <f t="shared" si="97"/>
        <v>6.6852580314163837E-3</v>
      </c>
      <c r="BH42" s="545">
        <f t="shared" si="98"/>
        <v>4.587219041661756E-2</v>
      </c>
      <c r="BI42" s="545">
        <f t="shared" si="99"/>
        <v>4.3749999999999995E-3</v>
      </c>
      <c r="BJ42" s="545">
        <f t="shared" si="100"/>
        <v>4.1164375000000003E-2</v>
      </c>
      <c r="BK42">
        <f t="shared" si="101"/>
        <v>6.96E-3</v>
      </c>
      <c r="BL42" s="545">
        <f t="shared" si="102"/>
        <v>0.10530074651018179</v>
      </c>
      <c r="BM42" s="471">
        <f t="shared" si="56"/>
        <v>105.30074651018178</v>
      </c>
      <c r="BN42" s="545">
        <f t="shared" si="103"/>
        <v>4.4399999999999995E-2</v>
      </c>
      <c r="BO42" s="545"/>
      <c r="BQ42" s="471">
        <f t="shared" si="57"/>
        <v>44.399999999999991</v>
      </c>
      <c r="BR42" s="545">
        <f t="shared" si="104"/>
        <v>1.8145700370987329E-3</v>
      </c>
      <c r="BS42" s="545">
        <f t="shared" si="105"/>
        <v>8.7026819646784867E-3</v>
      </c>
      <c r="BT42" s="545">
        <f t="shared" si="106"/>
        <v>8.9296861539996629E-3</v>
      </c>
      <c r="BU42" s="545">
        <f t="shared" si="107"/>
        <v>1.9463314202197223E-2</v>
      </c>
      <c r="BV42" s="545">
        <f t="shared" si="108"/>
        <v>1.0223684210526319E-2</v>
      </c>
      <c r="BW42" s="471">
        <f t="shared" si="58"/>
        <v>29.686998412723543</v>
      </c>
      <c r="BX42" s="178">
        <f t="shared" si="59"/>
        <v>0.17938774492290532</v>
      </c>
      <c r="BY42" s="5">
        <f t="shared" si="60"/>
        <v>1.7759999999999998</v>
      </c>
      <c r="BZ42" s="178">
        <f t="shared" si="61"/>
        <v>0.90825975800007996</v>
      </c>
      <c r="CA42" s="5">
        <f t="shared" si="62"/>
        <v>90.825975800007996</v>
      </c>
      <c r="CD42" s="580">
        <f t="shared" si="109"/>
        <v>-50</v>
      </c>
      <c r="CE42">
        <f t="shared" si="110"/>
        <v>-50</v>
      </c>
    </row>
    <row r="43" spans="5:83" x14ac:dyDescent="0.2">
      <c r="E43" s="175">
        <v>38</v>
      </c>
      <c r="F43" s="222">
        <f t="shared" si="111"/>
        <v>0.15200000000000002</v>
      </c>
      <c r="G43" s="222"/>
      <c r="H43" s="222">
        <f t="shared" si="64"/>
        <v>1.8240000000000003</v>
      </c>
      <c r="I43" s="558">
        <f t="shared" si="65"/>
        <v>24</v>
      </c>
      <c r="J43" s="177">
        <f t="shared" si="66"/>
        <v>24.5</v>
      </c>
      <c r="K43" s="453">
        <f t="shared" si="67"/>
        <v>48.5</v>
      </c>
      <c r="L43" s="453"/>
      <c r="M43" s="222">
        <f t="shared" si="68"/>
        <v>0.50515463917525771</v>
      </c>
      <c r="N43" s="177">
        <f t="shared" si="5"/>
        <v>8.3502061855670089</v>
      </c>
      <c r="O43" s="177">
        <f t="shared" si="49"/>
        <v>1.8240000000000003</v>
      </c>
      <c r="P43" s="222">
        <f t="shared" si="69"/>
        <v>0.69585051546391741</v>
      </c>
      <c r="Q43" s="222">
        <f t="shared" si="70"/>
        <v>12</v>
      </c>
      <c r="R43" s="222">
        <f t="shared" si="71"/>
        <v>0.73247422680412366</v>
      </c>
      <c r="S43" s="177">
        <f t="shared" si="72"/>
        <v>96.780917980190708</v>
      </c>
      <c r="T43" s="177">
        <f t="shared" si="73"/>
        <v>12</v>
      </c>
      <c r="U43" s="222">
        <f t="shared" si="74"/>
        <v>0.3167346938775511</v>
      </c>
      <c r="V43" s="222">
        <f t="shared" si="75"/>
        <v>1.1085714285714288</v>
      </c>
      <c r="W43" s="222">
        <f t="shared" si="76"/>
        <v>1.0859475218658894</v>
      </c>
      <c r="X43" s="202">
        <f t="shared" si="77"/>
        <v>350</v>
      </c>
      <c r="Y43" s="453">
        <f t="shared" si="50"/>
        <v>350</v>
      </c>
      <c r="AA43" s="222">
        <f t="shared" si="78"/>
        <v>0.41237113402061859</v>
      </c>
      <c r="AB43" s="178">
        <f t="shared" si="79"/>
        <v>1.4138438880706923</v>
      </c>
      <c r="AC43" s="178">
        <f t="shared" si="80"/>
        <v>0.20405994260814117</v>
      </c>
      <c r="AD43" s="178"/>
      <c r="AE43" s="178">
        <f t="shared" si="81"/>
        <v>0.99428571428571422</v>
      </c>
      <c r="AF43" s="562">
        <f t="shared" si="112"/>
        <v>527.15021799445128</v>
      </c>
      <c r="AG43" s="545">
        <f t="shared" si="82"/>
        <v>0.10091999999999998</v>
      </c>
      <c r="AI43" s="178">
        <f t="shared" si="83"/>
        <v>0.36514837167011077</v>
      </c>
      <c r="AJ43" s="178">
        <f t="shared" si="84"/>
        <v>0.36514837167011077</v>
      </c>
      <c r="AK43" s="178">
        <f t="shared" si="85"/>
        <v>1.2556654604963784</v>
      </c>
      <c r="AM43" s="562">
        <f t="shared" si="86"/>
        <v>152.00000000000003</v>
      </c>
      <c r="AN43" s="471">
        <f t="shared" si="87"/>
        <v>350</v>
      </c>
      <c r="AP43">
        <f t="shared" si="88"/>
        <v>152.00000000000003</v>
      </c>
      <c r="AQ43" s="471">
        <f t="shared" si="89"/>
        <v>350</v>
      </c>
      <c r="AR43" s="471"/>
      <c r="AS43" s="5">
        <f t="shared" si="51"/>
        <v>2.8571428571428572</v>
      </c>
      <c r="AT43" s="5">
        <f t="shared" si="90"/>
        <v>1.2780193008453875</v>
      </c>
      <c r="AU43" s="5">
        <f t="shared" si="52"/>
        <v>1.5791235562974697</v>
      </c>
      <c r="AV43" s="5">
        <f t="shared" si="91"/>
        <v>1.2519372742975226</v>
      </c>
      <c r="AW43" s="178">
        <f t="shared" si="53"/>
        <v>0.44730675529588559</v>
      </c>
      <c r="AX43" s="178">
        <f t="shared" si="92"/>
        <v>1.9600000000000004</v>
      </c>
      <c r="AY43" s="178">
        <f t="shared" si="93"/>
        <v>0.20181503833677744</v>
      </c>
      <c r="AZ43" s="178">
        <f t="shared" si="54"/>
        <v>9.7118629818322262</v>
      </c>
      <c r="BA43" s="471">
        <f t="shared" si="94"/>
        <v>1.6188244477374909</v>
      </c>
      <c r="BB43" s="5">
        <f t="shared" si="95"/>
        <v>0.10527490375316464</v>
      </c>
      <c r="BC43" s="5"/>
      <c r="BD43" s="178">
        <f t="shared" si="55"/>
        <v>0.14099751854331585</v>
      </c>
      <c r="BE43" s="178">
        <f t="shared" si="96"/>
        <v>0.31345905129105306</v>
      </c>
      <c r="BF43" s="178"/>
      <c r="BG43" s="545">
        <f t="shared" si="97"/>
        <v>6.9581050823804436E-3</v>
      </c>
      <c r="BH43" s="545">
        <f t="shared" si="98"/>
        <v>4.6487952068250973E-2</v>
      </c>
      <c r="BI43" s="545">
        <f t="shared" si="99"/>
        <v>4.3749999999999995E-3</v>
      </c>
      <c r="BJ43" s="545">
        <f t="shared" si="100"/>
        <v>4.1164375000000003E-2</v>
      </c>
      <c r="BK43">
        <f t="shared" si="101"/>
        <v>6.96E-3</v>
      </c>
      <c r="BL43" s="545">
        <f t="shared" si="102"/>
        <v>0.10620148216235323</v>
      </c>
      <c r="BM43" s="471">
        <f t="shared" si="56"/>
        <v>106.20148216235323</v>
      </c>
      <c r="BN43" s="545">
        <f t="shared" si="103"/>
        <v>4.5600000000000009E-2</v>
      </c>
      <c r="BO43" s="545"/>
      <c r="BQ43" s="471">
        <f t="shared" si="57"/>
        <v>45.600000000000009</v>
      </c>
      <c r="BR43" s="545">
        <f t="shared" si="104"/>
        <v>1.8886285223604063E-3</v>
      </c>
      <c r="BS43" s="545">
        <f t="shared" si="105"/>
        <v>8.8430919152658327E-3</v>
      </c>
      <c r="BT43" s="545">
        <f t="shared" si="106"/>
        <v>9.2323771185518714E-3</v>
      </c>
      <c r="BU43" s="545">
        <f t="shared" si="107"/>
        <v>1.998125221319777E-2</v>
      </c>
      <c r="BV43" s="545">
        <f t="shared" si="108"/>
        <v>1.0500000000000004E-2</v>
      </c>
      <c r="BW43" s="471">
        <f t="shared" si="58"/>
        <v>30.481252213197774</v>
      </c>
      <c r="BX43" s="178">
        <f t="shared" si="59"/>
        <v>0.18228273437555101</v>
      </c>
      <c r="BY43" s="5">
        <f t="shared" si="60"/>
        <v>1.8240000000000003</v>
      </c>
      <c r="BZ43" s="178">
        <f t="shared" si="61"/>
        <v>0.90914404472892707</v>
      </c>
      <c r="CA43" s="5">
        <f t="shared" si="62"/>
        <v>90.914404472892713</v>
      </c>
      <c r="CD43" s="580">
        <f t="shared" si="109"/>
        <v>-50</v>
      </c>
      <c r="CE43">
        <f t="shared" si="110"/>
        <v>-50</v>
      </c>
    </row>
    <row r="44" spans="5:83" x14ac:dyDescent="0.2">
      <c r="E44" s="175">
        <v>39</v>
      </c>
      <c r="F44" s="222">
        <f t="shared" si="111"/>
        <v>0.15600000000000003</v>
      </c>
      <c r="G44" s="222"/>
      <c r="H44" s="222">
        <f t="shared" si="64"/>
        <v>1.8720000000000003</v>
      </c>
      <c r="I44" s="558">
        <f t="shared" si="65"/>
        <v>24</v>
      </c>
      <c r="J44" s="177">
        <f t="shared" si="66"/>
        <v>24.5</v>
      </c>
      <c r="K44" s="453">
        <f t="shared" si="67"/>
        <v>48.5</v>
      </c>
      <c r="L44" s="453"/>
      <c r="M44" s="222">
        <f t="shared" si="68"/>
        <v>0.50515463917525771</v>
      </c>
      <c r="N44" s="177">
        <f t="shared" si="5"/>
        <v>8.3502061855670089</v>
      </c>
      <c r="O44" s="177">
        <f t="shared" si="49"/>
        <v>1.8720000000000003</v>
      </c>
      <c r="P44" s="222">
        <f t="shared" si="69"/>
        <v>0.69585051546391741</v>
      </c>
      <c r="Q44" s="222">
        <f t="shared" si="70"/>
        <v>12</v>
      </c>
      <c r="R44" s="222">
        <f t="shared" si="71"/>
        <v>0.73247422680412366</v>
      </c>
      <c r="S44" s="177">
        <f t="shared" si="72"/>
        <v>93.993370939198172</v>
      </c>
      <c r="T44" s="177">
        <f t="shared" si="73"/>
        <v>12</v>
      </c>
      <c r="U44" s="222">
        <f t="shared" si="74"/>
        <v>0.32506981740064456</v>
      </c>
      <c r="V44" s="222">
        <f t="shared" si="75"/>
        <v>1.1377443609022559</v>
      </c>
      <c r="W44" s="222">
        <f t="shared" si="76"/>
        <v>1.1145250882307813</v>
      </c>
      <c r="X44" s="202">
        <f t="shared" si="77"/>
        <v>350</v>
      </c>
      <c r="Y44" s="453">
        <f t="shared" si="50"/>
        <v>350</v>
      </c>
      <c r="AA44" s="222">
        <f t="shared" si="78"/>
        <v>0.41237113402061859</v>
      </c>
      <c r="AB44" s="178">
        <f t="shared" si="79"/>
        <v>1.4138438880706923</v>
      </c>
      <c r="AC44" s="178">
        <f t="shared" si="80"/>
        <v>0.20405994260814117</v>
      </c>
      <c r="AD44" s="178"/>
      <c r="AE44" s="178">
        <f t="shared" si="81"/>
        <v>0.99428571428571422</v>
      </c>
      <c r="AF44" s="562">
        <f t="shared" si="112"/>
        <v>541.02259215219999</v>
      </c>
      <c r="AG44" s="545">
        <f t="shared" si="82"/>
        <v>0.10091999999999998</v>
      </c>
      <c r="AI44" s="178">
        <f t="shared" si="83"/>
        <v>0.36992175559590695</v>
      </c>
      <c r="AJ44" s="178">
        <f t="shared" si="84"/>
        <v>0.36992175559590695</v>
      </c>
      <c r="AK44" s="178">
        <f t="shared" si="85"/>
        <v>1.2592013004414124</v>
      </c>
      <c r="AM44" s="562">
        <f t="shared" si="86"/>
        <v>156.00000000000003</v>
      </c>
      <c r="AN44" s="471">
        <f t="shared" si="87"/>
        <v>350</v>
      </c>
      <c r="AP44">
        <f t="shared" si="88"/>
        <v>156.00000000000003</v>
      </c>
      <c r="AQ44" s="471">
        <f t="shared" si="89"/>
        <v>350</v>
      </c>
      <c r="AR44" s="471"/>
      <c r="AS44" s="5">
        <f t="shared" si="51"/>
        <v>2.8571428571428572</v>
      </c>
      <c r="AT44" s="5">
        <f t="shared" si="90"/>
        <v>1.2947261445856744</v>
      </c>
      <c r="AU44" s="5">
        <f t="shared" si="52"/>
        <v>1.5624167125571828</v>
      </c>
      <c r="AV44" s="5">
        <f t="shared" si="91"/>
        <v>1.2683031620431096</v>
      </c>
      <c r="AW44" s="178">
        <f t="shared" si="53"/>
        <v>0.45315415060498604</v>
      </c>
      <c r="AX44" s="178">
        <f t="shared" si="92"/>
        <v>2.0115789473684211</v>
      </c>
      <c r="AY44" s="178">
        <f t="shared" si="93"/>
        <v>0.20229017664853849</v>
      </c>
      <c r="AZ44" s="178">
        <f t="shared" si="54"/>
        <v>9.9440268464610799</v>
      </c>
      <c r="BA44" s="471">
        <f t="shared" si="94"/>
        <v>1.683143987961377</v>
      </c>
      <c r="BB44" s="5">
        <f t="shared" si="95"/>
        <v>0.10690219612233356</v>
      </c>
      <c r="BC44" s="5"/>
      <c r="BD44" s="178">
        <f t="shared" si="55"/>
        <v>0.14377130911917532</v>
      </c>
      <c r="BE44" s="178">
        <f t="shared" si="96"/>
        <v>0.31587241577496339</v>
      </c>
      <c r="BF44" s="178"/>
      <c r="BG44" s="545">
        <f t="shared" si="97"/>
        <v>7.2345662640445115E-3</v>
      </c>
      <c r="BH44" s="545">
        <f t="shared" si="98"/>
        <v>4.7095663509303894E-2</v>
      </c>
      <c r="BI44" s="545">
        <f t="shared" si="99"/>
        <v>4.3749999999999995E-3</v>
      </c>
      <c r="BJ44" s="545">
        <f t="shared" si="100"/>
        <v>4.1164375000000003E-2</v>
      </c>
      <c r="BK44">
        <f t="shared" si="101"/>
        <v>6.96E-3</v>
      </c>
      <c r="BL44" s="545">
        <f t="shared" si="102"/>
        <v>0.10709807578902381</v>
      </c>
      <c r="BM44" s="471">
        <f t="shared" si="56"/>
        <v>107.09807578902381</v>
      </c>
      <c r="BN44" s="545">
        <f t="shared" si="103"/>
        <v>4.6800000000000008E-2</v>
      </c>
      <c r="BO44" s="545"/>
      <c r="BQ44" s="471">
        <f t="shared" si="57"/>
        <v>46.800000000000011</v>
      </c>
      <c r="BR44" s="545">
        <f t="shared" si="104"/>
        <v>1.9636679859549389E-3</v>
      </c>
      <c r="BS44" s="545">
        <f t="shared" si="105"/>
        <v>8.9797844742760206E-3</v>
      </c>
      <c r="BT44" s="545">
        <f t="shared" si="106"/>
        <v>9.5370662385287908E-3</v>
      </c>
      <c r="BU44" s="545">
        <f t="shared" si="107"/>
        <v>2.0498464616602912E-2</v>
      </c>
      <c r="BV44" s="545">
        <f t="shared" si="108"/>
        <v>1.0776315789473686E-2</v>
      </c>
      <c r="BW44" s="471">
        <f t="shared" si="58"/>
        <v>31.274780406076598</v>
      </c>
      <c r="BX44" s="178">
        <f t="shared" si="59"/>
        <v>0.1851728561951004</v>
      </c>
      <c r="BY44" s="5">
        <f t="shared" si="60"/>
        <v>1.8720000000000003</v>
      </c>
      <c r="BZ44" s="178">
        <f t="shared" si="61"/>
        <v>0.9099867297794354</v>
      </c>
      <c r="CA44" s="5">
        <f t="shared" si="62"/>
        <v>90.998672977943542</v>
      </c>
      <c r="CD44" s="580">
        <f t="shared" si="109"/>
        <v>-50</v>
      </c>
      <c r="CE44">
        <f t="shared" si="110"/>
        <v>-50</v>
      </c>
    </row>
    <row r="45" spans="5:83" x14ac:dyDescent="0.2">
      <c r="E45" s="175">
        <v>40</v>
      </c>
      <c r="F45" s="222">
        <f t="shared" si="111"/>
        <v>0.16000000000000003</v>
      </c>
      <c r="G45" s="222"/>
      <c r="H45" s="222">
        <f t="shared" si="64"/>
        <v>1.9200000000000004</v>
      </c>
      <c r="I45" s="558">
        <f t="shared" si="65"/>
        <v>24</v>
      </c>
      <c r="J45" s="177">
        <f t="shared" si="66"/>
        <v>24.5</v>
      </c>
      <c r="K45" s="453">
        <f t="shared" si="67"/>
        <v>48.5</v>
      </c>
      <c r="L45" s="453"/>
      <c r="M45" s="222">
        <f t="shared" si="68"/>
        <v>0.50515463917525771</v>
      </c>
      <c r="N45" s="177">
        <f t="shared" si="5"/>
        <v>8.3502061855670089</v>
      </c>
      <c r="O45" s="177">
        <f t="shared" si="49"/>
        <v>1.9200000000000004</v>
      </c>
      <c r="P45" s="222">
        <f t="shared" si="69"/>
        <v>0.69585051546391741</v>
      </c>
      <c r="Q45" s="222">
        <f t="shared" si="70"/>
        <v>12</v>
      </c>
      <c r="R45" s="222">
        <f t="shared" si="71"/>
        <v>0.73247422680412366</v>
      </c>
      <c r="S45" s="177">
        <f t="shared" si="72"/>
        <v>91.345252789130924</v>
      </c>
      <c r="T45" s="177">
        <f t="shared" si="73"/>
        <v>12</v>
      </c>
      <c r="U45" s="222">
        <f t="shared" si="74"/>
        <v>0.33340494092373801</v>
      </c>
      <c r="V45" s="222">
        <f t="shared" si="75"/>
        <v>1.1669172932330831</v>
      </c>
      <c r="W45" s="222">
        <f t="shared" si="76"/>
        <v>1.1431026545956731</v>
      </c>
      <c r="X45" s="202">
        <f t="shared" si="77"/>
        <v>350</v>
      </c>
      <c r="Y45" s="453">
        <f t="shared" si="50"/>
        <v>350</v>
      </c>
      <c r="AA45" s="222">
        <f t="shared" si="78"/>
        <v>0.41237113402061859</v>
      </c>
      <c r="AB45" s="178">
        <f t="shared" si="79"/>
        <v>1.4138438880706923</v>
      </c>
      <c r="AC45" s="178">
        <f t="shared" si="80"/>
        <v>0.20405994260814117</v>
      </c>
      <c r="AD45" s="178"/>
      <c r="AE45" s="178">
        <f t="shared" si="81"/>
        <v>0.99428571428571422</v>
      </c>
      <c r="AF45" s="562">
        <f t="shared" si="112"/>
        <v>554.8949663099487</v>
      </c>
      <c r="AG45" s="545">
        <f t="shared" si="82"/>
        <v>0.10091999999999998</v>
      </c>
      <c r="AI45" s="178">
        <f t="shared" si="83"/>
        <v>0.37463432463267765</v>
      </c>
      <c r="AJ45" s="178">
        <f t="shared" si="84"/>
        <v>0.37463432463267765</v>
      </c>
      <c r="AK45" s="178">
        <f t="shared" si="85"/>
        <v>1.2626920923205018</v>
      </c>
      <c r="AM45" s="562">
        <f t="shared" si="86"/>
        <v>160.00000000000003</v>
      </c>
      <c r="AN45" s="471">
        <f t="shared" si="87"/>
        <v>350</v>
      </c>
      <c r="AP45">
        <f t="shared" si="88"/>
        <v>160.00000000000003</v>
      </c>
      <c r="AQ45" s="471">
        <f t="shared" si="89"/>
        <v>350</v>
      </c>
      <c r="AR45" s="471"/>
      <c r="AS45" s="5">
        <f t="shared" si="51"/>
        <v>2.8571428571428572</v>
      </c>
      <c r="AT45" s="5">
        <f t="shared" si="90"/>
        <v>1.3112201362143718</v>
      </c>
      <c r="AU45" s="5">
        <f t="shared" si="52"/>
        <v>1.5459227209284854</v>
      </c>
      <c r="AV45" s="5">
        <f t="shared" si="91"/>
        <v>1.2844605415977521</v>
      </c>
      <c r="AW45" s="178">
        <f t="shared" si="53"/>
        <v>0.45892704767503012</v>
      </c>
      <c r="AX45" s="178">
        <f t="shared" si="92"/>
        <v>2.0631578947368427</v>
      </c>
      <c r="AY45" s="178">
        <f t="shared" si="93"/>
        <v>0.20270450007127408</v>
      </c>
      <c r="AZ45" s="178">
        <f t="shared" si="54"/>
        <v>10.178155364145365</v>
      </c>
      <c r="BA45" s="471">
        <f t="shared" si="94"/>
        <v>1.7482935149524961</v>
      </c>
      <c r="BB45" s="5">
        <f t="shared" si="95"/>
        <v>0.10848580497743758</v>
      </c>
      <c r="BC45" s="5"/>
      <c r="BD45" s="178">
        <f t="shared" si="55"/>
        <v>0.14652737367556523</v>
      </c>
      <c r="BE45" s="178">
        <f t="shared" si="96"/>
        <v>0.3182034223243706</v>
      </c>
      <c r="BF45" s="178"/>
      <c r="BG45" s="545">
        <f t="shared" si="97"/>
        <v>7.5145949326905536E-3</v>
      </c>
      <c r="BH45" s="545">
        <f t="shared" si="98"/>
        <v>4.7695632454797771E-2</v>
      </c>
      <c r="BI45" s="545">
        <f t="shared" si="99"/>
        <v>4.3749999999999995E-3</v>
      </c>
      <c r="BJ45" s="545">
        <f t="shared" si="100"/>
        <v>4.1164375000000003E-2</v>
      </c>
      <c r="BK45">
        <f t="shared" si="101"/>
        <v>6.96E-3</v>
      </c>
      <c r="BL45" s="545">
        <f t="shared" si="102"/>
        <v>0.10799078957689397</v>
      </c>
      <c r="BM45" s="471">
        <f t="shared" si="56"/>
        <v>107.99078957689397</v>
      </c>
      <c r="BN45" s="545">
        <f t="shared" si="103"/>
        <v>4.8000000000000008E-2</v>
      </c>
      <c r="BO45" s="545"/>
      <c r="BQ45" s="471">
        <f t="shared" si="57"/>
        <v>48.000000000000007</v>
      </c>
      <c r="BR45" s="545">
        <f t="shared" si="104"/>
        <v>2.0396757674445791E-3</v>
      </c>
      <c r="BS45" s="545">
        <f t="shared" si="105"/>
        <v>9.1128076181047572E-3</v>
      </c>
      <c r="BT45" s="545">
        <f t="shared" si="106"/>
        <v>9.8437149558518872E-3</v>
      </c>
      <c r="BU45" s="545">
        <f t="shared" si="107"/>
        <v>2.1014947849940797E-2</v>
      </c>
      <c r="BV45" s="545">
        <f t="shared" si="108"/>
        <v>1.1052631578947373E-2</v>
      </c>
      <c r="BW45" s="471">
        <f t="shared" si="58"/>
        <v>32.067579428888173</v>
      </c>
      <c r="BX45" s="178">
        <f t="shared" si="59"/>
        <v>0.18805836900578213</v>
      </c>
      <c r="BY45" s="5">
        <f t="shared" si="60"/>
        <v>1.9200000000000004</v>
      </c>
      <c r="BZ45" s="178">
        <f t="shared" si="61"/>
        <v>0.91079072013813567</v>
      </c>
      <c r="CA45" s="5">
        <f t="shared" si="62"/>
        <v>91.079072013813573</v>
      </c>
      <c r="CD45" s="580">
        <f t="shared" si="109"/>
        <v>-50</v>
      </c>
      <c r="CE45">
        <f t="shared" si="110"/>
        <v>-50</v>
      </c>
    </row>
    <row r="46" spans="5:83" x14ac:dyDescent="0.2">
      <c r="E46" s="175">
        <v>41</v>
      </c>
      <c r="F46" s="222">
        <f t="shared" si="111"/>
        <v>0.16400000000000001</v>
      </c>
      <c r="G46" s="222"/>
      <c r="H46" s="222">
        <f t="shared" si="64"/>
        <v>1.968</v>
      </c>
      <c r="I46" s="558">
        <f t="shared" si="65"/>
        <v>24</v>
      </c>
      <c r="J46" s="177">
        <f t="shared" si="66"/>
        <v>24.5</v>
      </c>
      <c r="K46" s="453">
        <f t="shared" si="67"/>
        <v>48.5</v>
      </c>
      <c r="L46" s="453"/>
      <c r="M46" s="222">
        <f t="shared" si="68"/>
        <v>0.50515463917525771</v>
      </c>
      <c r="N46" s="177">
        <f t="shared" si="5"/>
        <v>8.3502061855670089</v>
      </c>
      <c r="O46" s="177">
        <f t="shared" si="49"/>
        <v>1.968</v>
      </c>
      <c r="P46" s="222">
        <f t="shared" si="69"/>
        <v>0.69585051546391741</v>
      </c>
      <c r="Q46" s="222">
        <f t="shared" si="70"/>
        <v>12</v>
      </c>
      <c r="R46" s="222">
        <f t="shared" si="71"/>
        <v>0.73247422680412366</v>
      </c>
      <c r="S46" s="177">
        <f t="shared" si="72"/>
        <v>88.826361895482236</v>
      </c>
      <c r="T46" s="177">
        <f t="shared" si="73"/>
        <v>12</v>
      </c>
      <c r="U46" s="222">
        <f t="shared" si="74"/>
        <v>0.34174006444683142</v>
      </c>
      <c r="V46" s="222">
        <f t="shared" si="75"/>
        <v>1.1960902255639099</v>
      </c>
      <c r="W46" s="222">
        <f t="shared" si="76"/>
        <v>1.1716802209605648</v>
      </c>
      <c r="X46" s="202">
        <f t="shared" si="77"/>
        <v>350</v>
      </c>
      <c r="Y46" s="453">
        <f t="shared" si="50"/>
        <v>350</v>
      </c>
      <c r="AA46" s="222">
        <f t="shared" si="78"/>
        <v>0.41237113402061859</v>
      </c>
      <c r="AB46" s="178">
        <f t="shared" si="79"/>
        <v>1.4138438880706923</v>
      </c>
      <c r="AC46" s="178">
        <f t="shared" si="80"/>
        <v>0.20405994260814117</v>
      </c>
      <c r="AD46" s="178"/>
      <c r="AE46" s="178">
        <f t="shared" si="81"/>
        <v>0.99428571428571422</v>
      </c>
      <c r="AF46" s="562">
        <f t="shared" si="112"/>
        <v>568.76734046769741</v>
      </c>
      <c r="AG46" s="545">
        <f t="shared" si="82"/>
        <v>0.10091999999999998</v>
      </c>
      <c r="AI46" s="178">
        <f t="shared" si="83"/>
        <v>0.37928834561953922</v>
      </c>
      <c r="AJ46" s="178">
        <f t="shared" si="84"/>
        <v>0.37928834561953922</v>
      </c>
      <c r="AK46" s="178">
        <f t="shared" si="85"/>
        <v>1.2661395152737327</v>
      </c>
      <c r="AM46" s="562">
        <f t="shared" si="86"/>
        <v>164</v>
      </c>
      <c r="AN46" s="471">
        <f t="shared" si="87"/>
        <v>350</v>
      </c>
      <c r="AP46">
        <f t="shared" si="88"/>
        <v>164</v>
      </c>
      <c r="AQ46" s="471">
        <f t="shared" si="89"/>
        <v>350</v>
      </c>
      <c r="AR46" s="471"/>
      <c r="AS46" s="5">
        <f t="shared" si="51"/>
        <v>2.8571428571428572</v>
      </c>
      <c r="AT46" s="5">
        <f t="shared" si="90"/>
        <v>1.3275092096683871</v>
      </c>
      <c r="AU46" s="5">
        <f t="shared" si="52"/>
        <v>1.5296336474744701</v>
      </c>
      <c r="AV46" s="5">
        <f t="shared" si="91"/>
        <v>1.3004171849812773</v>
      </c>
      <c r="AW46" s="178">
        <f t="shared" si="53"/>
        <v>0.4646282233839355</v>
      </c>
      <c r="AX46" s="178">
        <f t="shared" si="92"/>
        <v>2.1147368421052635</v>
      </c>
      <c r="AY46" s="178">
        <f t="shared" si="93"/>
        <v>0.20306027544410063</v>
      </c>
      <c r="AZ46" s="178">
        <f t="shared" si="54"/>
        <v>10.414330609373264</v>
      </c>
      <c r="BA46" s="471">
        <f t="shared" si="94"/>
        <v>1.8142625865467958</v>
      </c>
      <c r="BB46" s="5">
        <f t="shared" si="95"/>
        <v>0.11002627990605837</v>
      </c>
      <c r="BC46" s="5"/>
      <c r="BD46" s="178">
        <f t="shared" si="55"/>
        <v>0.14926626453931932</v>
      </c>
      <c r="BE46" s="178">
        <f t="shared" si="96"/>
        <v>0.32045466852425136</v>
      </c>
      <c r="BF46" s="178"/>
      <c r="BG46" s="545">
        <f t="shared" si="97"/>
        <v>7.7981462053327193E-3</v>
      </c>
      <c r="BH46" s="545">
        <f t="shared" si="98"/>
        <v>4.8288147501687584E-2</v>
      </c>
      <c r="BI46" s="545">
        <f t="shared" si="99"/>
        <v>4.3749999999999995E-3</v>
      </c>
      <c r="BJ46" s="545">
        <f t="shared" si="100"/>
        <v>4.1164375000000003E-2</v>
      </c>
      <c r="BK46">
        <f t="shared" si="101"/>
        <v>6.96E-3</v>
      </c>
      <c r="BL46" s="545">
        <f t="shared" si="102"/>
        <v>0.10887986838943785</v>
      </c>
      <c r="BM46" s="471">
        <f t="shared" si="56"/>
        <v>108.87986838943785</v>
      </c>
      <c r="BN46" s="545">
        <f t="shared" si="103"/>
        <v>4.9200000000000001E-2</v>
      </c>
      <c r="BO46" s="545"/>
      <c r="BQ46" s="471">
        <f t="shared" si="57"/>
        <v>49.2</v>
      </c>
      <c r="BR46" s="545">
        <f t="shared" si="104"/>
        <v>2.1166396843045956E-3</v>
      </c>
      <c r="BS46" s="545">
        <f t="shared" si="105"/>
        <v>9.2422075121089027E-3</v>
      </c>
      <c r="BT46" s="545">
        <f t="shared" si="106"/>
        <v>1.0152286405208313E-2</v>
      </c>
      <c r="BU46" s="545">
        <f t="shared" si="107"/>
        <v>2.153069871496063E-2</v>
      </c>
      <c r="BV46" s="545">
        <f t="shared" si="108"/>
        <v>1.1328947368421058E-2</v>
      </c>
      <c r="BW46" s="471">
        <f t="shared" si="58"/>
        <v>32.859646083381691</v>
      </c>
      <c r="BX46" s="178">
        <f t="shared" si="59"/>
        <v>0.19093951447281954</v>
      </c>
      <c r="BY46" s="5">
        <f t="shared" si="60"/>
        <v>1.968</v>
      </c>
      <c r="BZ46" s="178">
        <f t="shared" si="61"/>
        <v>0.91155865498184452</v>
      </c>
      <c r="CA46" s="5">
        <f t="shared" si="62"/>
        <v>91.155865498184454</v>
      </c>
      <c r="CD46" s="580">
        <f t="shared" si="109"/>
        <v>-50</v>
      </c>
      <c r="CE46">
        <f t="shared" si="110"/>
        <v>-50</v>
      </c>
    </row>
    <row r="47" spans="5:83" x14ac:dyDescent="0.2">
      <c r="E47" s="175">
        <v>42</v>
      </c>
      <c r="F47" s="222">
        <f t="shared" si="111"/>
        <v>0.16800000000000001</v>
      </c>
      <c r="G47" s="222"/>
      <c r="H47" s="222">
        <f t="shared" si="64"/>
        <v>2.016</v>
      </c>
      <c r="I47" s="558">
        <f t="shared" si="65"/>
        <v>24</v>
      </c>
      <c r="J47" s="177">
        <f t="shared" si="66"/>
        <v>24.5</v>
      </c>
      <c r="K47" s="453">
        <f t="shared" si="67"/>
        <v>48.5</v>
      </c>
      <c r="L47" s="453"/>
      <c r="M47" s="222">
        <f t="shared" si="68"/>
        <v>0.50515463917525771</v>
      </c>
      <c r="N47" s="177">
        <f t="shared" si="5"/>
        <v>8.3502061855670089</v>
      </c>
      <c r="O47" s="177">
        <f t="shared" si="49"/>
        <v>2.016</v>
      </c>
      <c r="P47" s="222">
        <f t="shared" si="69"/>
        <v>0.69585051546391741</v>
      </c>
      <c r="Q47" s="222">
        <f t="shared" si="70"/>
        <v>12</v>
      </c>
      <c r="R47" s="222">
        <f t="shared" si="71"/>
        <v>0.73247422680412366</v>
      </c>
      <c r="S47" s="177">
        <f t="shared" si="72"/>
        <v>86.427468213782745</v>
      </c>
      <c r="T47" s="177">
        <f t="shared" si="73"/>
        <v>12</v>
      </c>
      <c r="U47" s="222">
        <f t="shared" si="74"/>
        <v>0.35007518796992487</v>
      </c>
      <c r="V47" s="222">
        <f t="shared" si="75"/>
        <v>1.2252631578947371</v>
      </c>
      <c r="W47" s="222">
        <f t="shared" si="76"/>
        <v>1.2002577873254565</v>
      </c>
      <c r="X47" s="202">
        <f t="shared" si="77"/>
        <v>350</v>
      </c>
      <c r="Y47" s="453">
        <f t="shared" si="50"/>
        <v>350</v>
      </c>
      <c r="AA47" s="222">
        <f t="shared" si="78"/>
        <v>0.41237113402061859</v>
      </c>
      <c r="AB47" s="178">
        <f t="shared" si="79"/>
        <v>1.4138438880706923</v>
      </c>
      <c r="AC47" s="178">
        <f t="shared" si="80"/>
        <v>0.20405994260814117</v>
      </c>
      <c r="AD47" s="178"/>
      <c r="AE47" s="178">
        <f t="shared" si="81"/>
        <v>0.99428571428571422</v>
      </c>
      <c r="AF47" s="562">
        <f t="shared" si="112"/>
        <v>582.63971462544612</v>
      </c>
      <c r="AG47" s="545">
        <f t="shared" si="82"/>
        <v>0.10091999999999998</v>
      </c>
      <c r="AI47" s="178">
        <f t="shared" si="83"/>
        <v>0.38388594797495729</v>
      </c>
      <c r="AJ47" s="178">
        <f t="shared" si="84"/>
        <v>0.38388594797495729</v>
      </c>
      <c r="AK47" s="178">
        <f t="shared" si="85"/>
        <v>1.2695451466481165</v>
      </c>
      <c r="AM47" s="562">
        <f t="shared" si="86"/>
        <v>168</v>
      </c>
      <c r="AN47" s="471">
        <f t="shared" si="87"/>
        <v>350</v>
      </c>
      <c r="AP47">
        <f t="shared" si="88"/>
        <v>168</v>
      </c>
      <c r="AQ47" s="471">
        <f t="shared" si="89"/>
        <v>350</v>
      </c>
      <c r="AR47" s="471"/>
      <c r="AS47" s="5">
        <f t="shared" si="51"/>
        <v>2.8571428571428572</v>
      </c>
      <c r="AT47" s="5">
        <f t="shared" si="90"/>
        <v>1.3436008179123504</v>
      </c>
      <c r="AU47" s="5">
        <f t="shared" si="52"/>
        <v>1.5135420392305068</v>
      </c>
      <c r="AV47" s="5">
        <f t="shared" si="91"/>
        <v>1.3161803930569964</v>
      </c>
      <c r="AW47" s="178">
        <f t="shared" si="53"/>
        <v>0.47026028626932265</v>
      </c>
      <c r="AX47" s="178">
        <f t="shared" si="92"/>
        <v>2.1663157894736846</v>
      </c>
      <c r="AY47" s="178">
        <f t="shared" si="93"/>
        <v>0.20335963218548359</v>
      </c>
      <c r="AZ47" s="178">
        <f t="shared" si="54"/>
        <v>10.652634282391876</v>
      </c>
      <c r="BA47" s="471">
        <f t="shared" si="94"/>
        <v>1.8810411450772906</v>
      </c>
      <c r="BB47" s="5">
        <f t="shared" si="95"/>
        <v>0.11152415025908996</v>
      </c>
      <c r="BC47" s="5"/>
      <c r="BD47" s="178">
        <f t="shared" si="55"/>
        <v>0.1519885038100674</v>
      </c>
      <c r="BE47" s="178">
        <f t="shared" si="96"/>
        <v>0.32262858972583941</v>
      </c>
      <c r="BF47" s="178"/>
      <c r="BG47" s="545">
        <f t="shared" si="97"/>
        <v>8.0851768516480051E-3</v>
      </c>
      <c r="BH47" s="545">
        <f t="shared" si="98"/>
        <v>4.8873479751561741E-2</v>
      </c>
      <c r="BI47" s="545">
        <f t="shared" si="99"/>
        <v>4.3749999999999995E-3</v>
      </c>
      <c r="BJ47" s="545">
        <f t="shared" si="100"/>
        <v>4.1164375000000003E-2</v>
      </c>
      <c r="BK47">
        <f t="shared" si="101"/>
        <v>6.96E-3</v>
      </c>
      <c r="BL47" s="545">
        <f t="shared" si="102"/>
        <v>0.1097655412795744</v>
      </c>
      <c r="BM47" s="471">
        <f t="shared" si="56"/>
        <v>109.76554127957439</v>
      </c>
      <c r="BN47" s="545">
        <f t="shared" si="103"/>
        <v>5.04E-2</v>
      </c>
      <c r="BO47" s="545"/>
      <c r="BQ47" s="471">
        <f t="shared" si="57"/>
        <v>50.4</v>
      </c>
      <c r="BR47" s="545">
        <f t="shared" si="104"/>
        <v>2.194548002590173E-3</v>
      </c>
      <c r="BS47" s="545">
        <f t="shared" si="105"/>
        <v>9.3680286217635612E-3</v>
      </c>
      <c r="BT47" s="545">
        <f t="shared" si="106"/>
        <v>1.0462745300114876E-2</v>
      </c>
      <c r="BU47" s="545">
        <f t="shared" si="107"/>
        <v>2.2045714345377172E-2</v>
      </c>
      <c r="BV47" s="545">
        <f t="shared" si="108"/>
        <v>1.1605263157894742E-2</v>
      </c>
      <c r="BW47" s="471">
        <f t="shared" si="58"/>
        <v>33.650977503271918</v>
      </c>
      <c r="BX47" s="178">
        <f t="shared" si="59"/>
        <v>0.19381651878284628</v>
      </c>
      <c r="BY47" s="5">
        <f t="shared" si="60"/>
        <v>2.016</v>
      </c>
      <c r="BZ47" s="178">
        <f t="shared" si="61"/>
        <v>0.91229293602638128</v>
      </c>
      <c r="CA47" s="5">
        <f t="shared" si="62"/>
        <v>91.229293602638123</v>
      </c>
      <c r="CD47" s="580">
        <f t="shared" si="109"/>
        <v>-50</v>
      </c>
      <c r="CE47">
        <f t="shared" si="110"/>
        <v>-50</v>
      </c>
    </row>
    <row r="48" spans="5:83" x14ac:dyDescent="0.2">
      <c r="E48" s="175">
        <v>43</v>
      </c>
      <c r="F48" s="222">
        <f t="shared" si="111"/>
        <v>0.17200000000000001</v>
      </c>
      <c r="G48" s="222"/>
      <c r="H48" s="222">
        <f t="shared" si="64"/>
        <v>2.0640000000000001</v>
      </c>
      <c r="I48" s="558">
        <f t="shared" si="65"/>
        <v>24</v>
      </c>
      <c r="J48" s="177">
        <f t="shared" si="66"/>
        <v>24.5</v>
      </c>
      <c r="K48" s="453">
        <f t="shared" si="67"/>
        <v>48.5</v>
      </c>
      <c r="L48" s="453"/>
      <c r="M48" s="222">
        <f t="shared" si="68"/>
        <v>0.50515463917525771</v>
      </c>
      <c r="N48" s="177">
        <f t="shared" si="5"/>
        <v>8.3502061855670089</v>
      </c>
      <c r="O48" s="177">
        <f t="shared" si="49"/>
        <v>2.0640000000000001</v>
      </c>
      <c r="P48" s="222">
        <f t="shared" si="69"/>
        <v>0.69585051546391741</v>
      </c>
      <c r="Q48" s="222">
        <f t="shared" si="70"/>
        <v>12</v>
      </c>
      <c r="R48" s="222">
        <f t="shared" si="71"/>
        <v>0.73247422680412366</v>
      </c>
      <c r="S48" s="177">
        <f t="shared" si="72"/>
        <v>84.140200314100127</v>
      </c>
      <c r="T48" s="177">
        <f t="shared" si="73"/>
        <v>12</v>
      </c>
      <c r="U48" s="222">
        <f t="shared" si="74"/>
        <v>0.35841031149301833</v>
      </c>
      <c r="V48" s="222">
        <f t="shared" si="75"/>
        <v>1.254436090225564</v>
      </c>
      <c r="W48" s="222">
        <f t="shared" si="76"/>
        <v>1.2288353536903487</v>
      </c>
      <c r="X48" s="202">
        <f t="shared" si="77"/>
        <v>350</v>
      </c>
      <c r="Y48" s="453">
        <f t="shared" si="50"/>
        <v>350</v>
      </c>
      <c r="AA48" s="222">
        <f t="shared" si="78"/>
        <v>0.41237113402061859</v>
      </c>
      <c r="AB48" s="178">
        <f t="shared" si="79"/>
        <v>1.4138438880706923</v>
      </c>
      <c r="AC48" s="178">
        <f t="shared" si="80"/>
        <v>0.20405994260814117</v>
      </c>
      <c r="AD48" s="178"/>
      <c r="AE48" s="178">
        <f t="shared" si="81"/>
        <v>0.99428571428571422</v>
      </c>
      <c r="AF48" s="562">
        <f t="shared" si="112"/>
        <v>596.51208878319483</v>
      </c>
      <c r="AG48" s="545">
        <f t="shared" si="82"/>
        <v>0.10091999999999998</v>
      </c>
      <c r="AI48" s="178">
        <f t="shared" si="83"/>
        <v>0.38842913508445293</v>
      </c>
      <c r="AJ48" s="178">
        <f t="shared" si="84"/>
        <v>0.38842913508445293</v>
      </c>
      <c r="AK48" s="178">
        <f t="shared" si="85"/>
        <v>1.2729104704329282</v>
      </c>
      <c r="AM48" s="562">
        <f t="shared" si="86"/>
        <v>172</v>
      </c>
      <c r="AN48" s="471">
        <f t="shared" si="87"/>
        <v>350</v>
      </c>
      <c r="AP48">
        <f t="shared" si="88"/>
        <v>172</v>
      </c>
      <c r="AQ48" s="471">
        <f t="shared" si="89"/>
        <v>350</v>
      </c>
      <c r="AR48" s="471"/>
      <c r="AS48" s="5">
        <f t="shared" si="51"/>
        <v>2.8571428571428572</v>
      </c>
      <c r="AT48" s="5">
        <f t="shared" si="90"/>
        <v>1.3595019727955853</v>
      </c>
      <c r="AU48" s="5">
        <f t="shared" si="52"/>
        <v>1.4976408843472719</v>
      </c>
      <c r="AV48" s="5">
        <f t="shared" si="91"/>
        <v>1.3317570345752672</v>
      </c>
      <c r="AW48" s="178">
        <f t="shared" si="53"/>
        <v>0.47582569047845485</v>
      </c>
      <c r="AX48" s="178">
        <f t="shared" si="92"/>
        <v>2.2178947368421054</v>
      </c>
      <c r="AY48" s="178">
        <f t="shared" si="93"/>
        <v>0.20360457368094412</v>
      </c>
      <c r="AZ48" s="178">
        <f t="shared" si="54"/>
        <v>10.893147912863826</v>
      </c>
      <c r="BA48" s="471">
        <f t="shared" si="94"/>
        <v>1.948619494340339</v>
      </c>
      <c r="BB48" s="5">
        <f t="shared" si="95"/>
        <v>0.1129799263630398</v>
      </c>
      <c r="BC48" s="5"/>
      <c r="BD48" s="178">
        <f t="shared" si="55"/>
        <v>0.15469458569315248</v>
      </c>
      <c r="BE48" s="178">
        <f t="shared" si="96"/>
        <v>0.32472747230896637</v>
      </c>
      <c r="BF48" s="178"/>
      <c r="BG48" s="545">
        <f t="shared" si="97"/>
        <v>8.3756451949716336E-3</v>
      </c>
      <c r="BH48" s="545">
        <f t="shared" si="98"/>
        <v>4.9451884260439401E-2</v>
      </c>
      <c r="BI48" s="545">
        <f t="shared" si="99"/>
        <v>4.3749999999999995E-3</v>
      </c>
      <c r="BJ48" s="545">
        <f t="shared" si="100"/>
        <v>4.1164375000000003E-2</v>
      </c>
      <c r="BK48">
        <f t="shared" si="101"/>
        <v>6.96E-3</v>
      </c>
      <c r="BL48" s="545">
        <f t="shared" si="102"/>
        <v>0.11064802283866579</v>
      </c>
      <c r="BM48" s="471">
        <f t="shared" si="56"/>
        <v>110.64802283866578</v>
      </c>
      <c r="BN48" s="545">
        <f t="shared" si="103"/>
        <v>5.16E-2</v>
      </c>
      <c r="BO48" s="545"/>
      <c r="BQ48" s="471">
        <f t="shared" si="57"/>
        <v>51.6</v>
      </c>
      <c r="BR48" s="545">
        <f t="shared" si="104"/>
        <v>2.2733894100637293E-3</v>
      </c>
      <c r="BS48" s="545">
        <f t="shared" si="105"/>
        <v>9.4903138144953464E-3</v>
      </c>
      <c r="BT48" s="545">
        <f t="shared" si="106"/>
        <v>1.0775057829190643E-2</v>
      </c>
      <c r="BU48" s="545">
        <f t="shared" si="107"/>
        <v>2.2559992177968117E-2</v>
      </c>
      <c r="BV48" s="545">
        <f t="shared" si="108"/>
        <v>1.1881578947368424E-2</v>
      </c>
      <c r="BW48" s="471">
        <f t="shared" si="58"/>
        <v>34.441571125336537</v>
      </c>
      <c r="BX48" s="178">
        <f t="shared" si="59"/>
        <v>0.19668959396400232</v>
      </c>
      <c r="BY48" s="5">
        <f t="shared" si="60"/>
        <v>2.0640000000000001</v>
      </c>
      <c r="BZ48" s="178">
        <f t="shared" si="61"/>
        <v>0.91299575382256815</v>
      </c>
      <c r="CA48" s="5">
        <f t="shared" si="62"/>
        <v>91.299575382256819</v>
      </c>
      <c r="CD48" s="580">
        <f t="shared" si="109"/>
        <v>-50</v>
      </c>
      <c r="CE48">
        <f t="shared" si="110"/>
        <v>-50</v>
      </c>
    </row>
    <row r="49" spans="5:83" x14ac:dyDescent="0.2">
      <c r="E49" s="175">
        <v>44</v>
      </c>
      <c r="F49" s="222">
        <f t="shared" si="111"/>
        <v>0.17600000000000002</v>
      </c>
      <c r="G49" s="222"/>
      <c r="H49" s="222">
        <f t="shared" si="64"/>
        <v>2.1120000000000001</v>
      </c>
      <c r="I49" s="558">
        <f t="shared" si="65"/>
        <v>24</v>
      </c>
      <c r="J49" s="177">
        <f t="shared" si="66"/>
        <v>24.5</v>
      </c>
      <c r="K49" s="453">
        <f t="shared" si="67"/>
        <v>48.5</v>
      </c>
      <c r="L49" s="453"/>
      <c r="M49" s="222">
        <f t="shared" si="68"/>
        <v>0.50515463917525771</v>
      </c>
      <c r="N49" s="177">
        <f t="shared" si="5"/>
        <v>8.3502061855670089</v>
      </c>
      <c r="O49" s="177">
        <f t="shared" si="49"/>
        <v>2.1120000000000001</v>
      </c>
      <c r="P49" s="222">
        <f t="shared" si="69"/>
        <v>0.69585051546391741</v>
      </c>
      <c r="Q49" s="222">
        <f t="shared" si="70"/>
        <v>12</v>
      </c>
      <c r="R49" s="222">
        <f t="shared" si="71"/>
        <v>0.73247422680412366</v>
      </c>
      <c r="S49" s="177">
        <f t="shared" si="72"/>
        <v>81.956947811289993</v>
      </c>
      <c r="T49" s="177">
        <f t="shared" si="73"/>
        <v>12</v>
      </c>
      <c r="U49" s="222">
        <f t="shared" si="74"/>
        <v>0.36674543501611179</v>
      </c>
      <c r="V49" s="222">
        <f t="shared" si="75"/>
        <v>1.2836090225563912</v>
      </c>
      <c r="W49" s="222">
        <f t="shared" si="76"/>
        <v>1.2574129200552404</v>
      </c>
      <c r="X49" s="202">
        <f t="shared" si="77"/>
        <v>350</v>
      </c>
      <c r="Y49" s="453">
        <f t="shared" si="50"/>
        <v>350</v>
      </c>
      <c r="AA49" s="222">
        <f t="shared" si="78"/>
        <v>0.41237113402061859</v>
      </c>
      <c r="AB49" s="178">
        <f t="shared" si="79"/>
        <v>1.4138438880706923</v>
      </c>
      <c r="AC49" s="178">
        <f t="shared" si="80"/>
        <v>0.20405994260814117</v>
      </c>
      <c r="AD49" s="178"/>
      <c r="AE49" s="178">
        <f t="shared" si="81"/>
        <v>0.99428571428571422</v>
      </c>
      <c r="AF49" s="562">
        <f t="shared" si="112"/>
        <v>610.38446294094354</v>
      </c>
      <c r="AG49" s="545">
        <f t="shared" si="82"/>
        <v>0.10091999999999998</v>
      </c>
      <c r="AI49" s="178">
        <f t="shared" si="83"/>
        <v>0.39291979450300124</v>
      </c>
      <c r="AJ49" s="178">
        <f t="shared" si="84"/>
        <v>0.39291979450300124</v>
      </c>
      <c r="AK49" s="178">
        <f t="shared" si="85"/>
        <v>1.276236884817038</v>
      </c>
      <c r="AM49" s="562">
        <f t="shared" si="86"/>
        <v>176.00000000000003</v>
      </c>
      <c r="AN49" s="471">
        <f t="shared" si="87"/>
        <v>350</v>
      </c>
      <c r="AP49">
        <f t="shared" si="88"/>
        <v>176.00000000000003</v>
      </c>
      <c r="AQ49" s="471">
        <f t="shared" si="89"/>
        <v>350</v>
      </c>
      <c r="AR49" s="471"/>
      <c r="AS49" s="5">
        <f t="shared" si="51"/>
        <v>2.8571428571428572</v>
      </c>
      <c r="AT49" s="5">
        <f t="shared" si="90"/>
        <v>1.3752192807605041</v>
      </c>
      <c r="AU49" s="5">
        <f t="shared" si="52"/>
        <v>1.4819235763823531</v>
      </c>
      <c r="AV49" s="5">
        <f t="shared" si="91"/>
        <v>1.347153581153147</v>
      </c>
      <c r="AW49" s="178">
        <f t="shared" si="53"/>
        <v>0.48132674826617644</v>
      </c>
      <c r="AX49" s="178">
        <f t="shared" si="92"/>
        <v>2.269473684210527</v>
      </c>
      <c r="AY49" s="178">
        <f t="shared" si="93"/>
        <v>0.20379698748545735</v>
      </c>
      <c r="AZ49" s="178">
        <f t="shared" si="54"/>
        <v>11.135953049219991</v>
      </c>
      <c r="BA49" s="471">
        <f t="shared" si="94"/>
        <v>2.0169882784487396</v>
      </c>
      <c r="BB49" s="5">
        <f t="shared" si="95"/>
        <v>0.11439410063302374</v>
      </c>
      <c r="BC49" s="5"/>
      <c r="BD49" s="178">
        <f t="shared" si="55"/>
        <v>0.15738497860253808</v>
      </c>
      <c r="BE49" s="178">
        <f t="shared" si="96"/>
        <v>0.32675346556308904</v>
      </c>
      <c r="BF49" s="178"/>
      <c r="BG49" s="545">
        <f t="shared" si="97"/>
        <v>8.6695110214024783E-3</v>
      </c>
      <c r="BH49" s="545">
        <f t="shared" si="98"/>
        <v>5.0023601337663336E-2</v>
      </c>
      <c r="BI49" s="545">
        <f t="shared" si="99"/>
        <v>4.3749999999999995E-3</v>
      </c>
      <c r="BJ49" s="545">
        <f t="shared" si="100"/>
        <v>4.1164375000000003E-2</v>
      </c>
      <c r="BK49">
        <f t="shared" si="101"/>
        <v>6.96E-3</v>
      </c>
      <c r="BL49" s="545">
        <f t="shared" si="102"/>
        <v>0.11152751440286911</v>
      </c>
      <c r="BM49" s="471">
        <f t="shared" si="56"/>
        <v>111.5275144028691</v>
      </c>
      <c r="BN49" s="545">
        <f t="shared" si="103"/>
        <v>5.2800000000000007E-2</v>
      </c>
      <c r="BO49" s="545"/>
      <c r="BQ49" s="471">
        <f t="shared" si="57"/>
        <v>52.800000000000004</v>
      </c>
      <c r="BR49" s="545">
        <f t="shared" si="104"/>
        <v>2.3531529915235302E-3</v>
      </c>
      <c r="BS49" s="545">
        <f t="shared" si="105"/>
        <v>9.6091044531739934E-3</v>
      </c>
      <c r="BT49" s="545">
        <f t="shared" si="106"/>
        <v>1.108919156150652E-2</v>
      </c>
      <c r="BU49" s="545">
        <f t="shared" si="107"/>
        <v>2.3073529926615256E-2</v>
      </c>
      <c r="BV49" s="545">
        <f t="shared" si="108"/>
        <v>1.2157894736842111E-2</v>
      </c>
      <c r="BW49" s="471">
        <f t="shared" si="58"/>
        <v>35.231424663457368</v>
      </c>
      <c r="BX49" s="178">
        <f t="shared" si="59"/>
        <v>0.19955893906632649</v>
      </c>
      <c r="BY49" s="5">
        <f t="shared" si="60"/>
        <v>2.1120000000000001</v>
      </c>
      <c r="BZ49" s="178">
        <f t="shared" si="61"/>
        <v>0.91366911061894385</v>
      </c>
      <c r="CA49" s="5">
        <f t="shared" si="62"/>
        <v>91.366911061894385</v>
      </c>
      <c r="CD49" s="580">
        <f t="shared" si="109"/>
        <v>-50</v>
      </c>
      <c r="CE49">
        <f t="shared" si="110"/>
        <v>-50</v>
      </c>
    </row>
    <row r="50" spans="5:83" x14ac:dyDescent="0.2">
      <c r="E50" s="175">
        <v>45</v>
      </c>
      <c r="F50" s="222">
        <f t="shared" si="111"/>
        <v>0.18000000000000002</v>
      </c>
      <c r="G50" s="222"/>
      <c r="H50" s="222">
        <f t="shared" si="64"/>
        <v>2.16</v>
      </c>
      <c r="I50" s="558">
        <f t="shared" si="65"/>
        <v>24</v>
      </c>
      <c r="J50" s="177">
        <f t="shared" si="66"/>
        <v>24.5</v>
      </c>
      <c r="K50" s="453">
        <f t="shared" si="67"/>
        <v>48.5</v>
      </c>
      <c r="L50" s="453"/>
      <c r="M50" s="222">
        <f t="shared" si="68"/>
        <v>0.50515463917525771</v>
      </c>
      <c r="N50" s="177">
        <f t="shared" si="5"/>
        <v>8.3502061855670089</v>
      </c>
      <c r="O50" s="177">
        <f t="shared" si="49"/>
        <v>2.16</v>
      </c>
      <c r="P50" s="222">
        <f t="shared" si="69"/>
        <v>0.69585051546391741</v>
      </c>
      <c r="Q50" s="222">
        <f t="shared" si="70"/>
        <v>12</v>
      </c>
      <c r="R50" s="222">
        <f t="shared" si="71"/>
        <v>0.73247422680412366</v>
      </c>
      <c r="S50" s="177">
        <f t="shared" si="72"/>
        <v>79.870776804548257</v>
      </c>
      <c r="T50" s="177">
        <f t="shared" si="73"/>
        <v>12</v>
      </c>
      <c r="U50" s="222">
        <f t="shared" si="74"/>
        <v>0.37508055853920524</v>
      </c>
      <c r="V50" s="222">
        <f t="shared" si="75"/>
        <v>1.3127819548872184</v>
      </c>
      <c r="W50" s="222">
        <f t="shared" si="76"/>
        <v>1.2859904864201321</v>
      </c>
      <c r="X50" s="202">
        <f t="shared" si="77"/>
        <v>350</v>
      </c>
      <c r="Y50" s="453">
        <f t="shared" si="50"/>
        <v>350</v>
      </c>
      <c r="AA50" s="222">
        <f t="shared" si="78"/>
        <v>0.41237113402061859</v>
      </c>
      <c r="AB50" s="178">
        <f t="shared" si="79"/>
        <v>1.4138438880706923</v>
      </c>
      <c r="AC50" s="178">
        <f t="shared" si="80"/>
        <v>0.20405994260814117</v>
      </c>
      <c r="AD50" s="178"/>
      <c r="AE50" s="178">
        <f t="shared" si="81"/>
        <v>0.99428571428571422</v>
      </c>
      <c r="AF50" s="562">
        <f t="shared" si="112"/>
        <v>624.25683709869236</v>
      </c>
      <c r="AG50" s="545">
        <f t="shared" si="82"/>
        <v>0.10091999999999998</v>
      </c>
      <c r="AI50" s="178">
        <f t="shared" si="83"/>
        <v>0.39735970711951318</v>
      </c>
      <c r="AJ50" s="178">
        <f t="shared" si="84"/>
        <v>0.39735970711951318</v>
      </c>
      <c r="AK50" s="178">
        <f t="shared" si="85"/>
        <v>1.2795257089774172</v>
      </c>
      <c r="AM50" s="562">
        <f t="shared" si="86"/>
        <v>180.00000000000003</v>
      </c>
      <c r="AN50" s="471">
        <f t="shared" si="87"/>
        <v>350</v>
      </c>
      <c r="AP50">
        <f t="shared" si="88"/>
        <v>180.00000000000003</v>
      </c>
      <c r="AQ50" s="471">
        <f t="shared" si="89"/>
        <v>350</v>
      </c>
      <c r="AR50" s="471"/>
      <c r="AS50" s="5">
        <f t="shared" si="51"/>
        <v>2.8571428571428572</v>
      </c>
      <c r="AT50" s="5">
        <f t="shared" si="90"/>
        <v>1.390758974918296</v>
      </c>
      <c r="AU50" s="5">
        <f t="shared" si="52"/>
        <v>1.4663838822245612</v>
      </c>
      <c r="AV50" s="5">
        <f t="shared" si="91"/>
        <v>1.3623761386954736</v>
      </c>
      <c r="AW50" s="178">
        <f t="shared" si="53"/>
        <v>0.48676564122140359</v>
      </c>
      <c r="AX50" s="178">
        <f t="shared" si="92"/>
        <v>2.3210526315789481</v>
      </c>
      <c r="AY50" s="178">
        <f t="shared" si="93"/>
        <v>0.20393865448793419</v>
      </c>
      <c r="AZ50" s="178">
        <f t="shared" si="54"/>
        <v>11.381131435856711</v>
      </c>
      <c r="BA50" s="471">
        <f t="shared" si="94"/>
        <v>2.0861384623774439</v>
      </c>
      <c r="BB50" s="5">
        <f t="shared" si="95"/>
        <v>0.11576714859667589</v>
      </c>
      <c r="BC50" s="5"/>
      <c r="BD50" s="178">
        <f t="shared" si="55"/>
        <v>0.16006012706108513</v>
      </c>
      <c r="BE50" s="178">
        <f t="shared" si="96"/>
        <v>0.32870859235838484</v>
      </c>
      <c r="BF50" s="178"/>
      <c r="BG50" s="545">
        <f t="shared" si="97"/>
        <v>8.9667354961837503E-3</v>
      </c>
      <c r="BH50" s="545">
        <f t="shared" si="98"/>
        <v>5.0588857712653014E-2</v>
      </c>
      <c r="BI50" s="545">
        <f t="shared" si="99"/>
        <v>4.3749999999999995E-3</v>
      </c>
      <c r="BJ50" s="545">
        <f t="shared" si="100"/>
        <v>4.1164375000000003E-2</v>
      </c>
      <c r="BK50">
        <f t="shared" si="101"/>
        <v>6.96E-3</v>
      </c>
      <c r="BL50" s="545">
        <f t="shared" si="102"/>
        <v>0.11240420513475616</v>
      </c>
      <c r="BM50" s="471">
        <f t="shared" si="56"/>
        <v>112.40420513475615</v>
      </c>
      <c r="BN50" s="545">
        <f t="shared" si="103"/>
        <v>5.4000000000000006E-2</v>
      </c>
      <c r="BO50" s="545"/>
      <c r="BQ50" s="471">
        <f t="shared" si="57"/>
        <v>54.000000000000007</v>
      </c>
      <c r="BR50" s="545">
        <f t="shared" si="104"/>
        <v>2.4338282061070185E-3</v>
      </c>
      <c r="BS50" s="545">
        <f t="shared" si="105"/>
        <v>9.7244404821207747E-3</v>
      </c>
      <c r="BT50" s="545">
        <f t="shared" si="106"/>
        <v>1.1405115360028587E-2</v>
      </c>
      <c r="BU50" s="545">
        <f t="shared" si="107"/>
        <v>2.3586325558937467E-2</v>
      </c>
      <c r="BV50" s="545">
        <f t="shared" si="108"/>
        <v>1.2434210526315794E-2</v>
      </c>
      <c r="BW50" s="471">
        <f t="shared" si="58"/>
        <v>36.020536085253262</v>
      </c>
      <c r="BX50" s="178">
        <f t="shared" si="59"/>
        <v>0.20242474122000945</v>
      </c>
      <c r="BY50" s="5">
        <f t="shared" si="60"/>
        <v>2.16</v>
      </c>
      <c r="BZ50" s="178">
        <f t="shared" si="61"/>
        <v>0.91431484030451149</v>
      </c>
      <c r="CA50" s="5">
        <f t="shared" si="62"/>
        <v>91.431484030451145</v>
      </c>
      <c r="CD50" s="580">
        <f t="shared" si="109"/>
        <v>-50</v>
      </c>
      <c r="CE50">
        <f t="shared" si="110"/>
        <v>-50</v>
      </c>
    </row>
    <row r="51" spans="5:83" x14ac:dyDescent="0.2">
      <c r="E51" s="175">
        <v>46</v>
      </c>
      <c r="F51" s="222">
        <f t="shared" si="111"/>
        <v>0.18400000000000002</v>
      </c>
      <c r="G51" s="222"/>
      <c r="H51" s="222">
        <f t="shared" si="64"/>
        <v>2.2080000000000002</v>
      </c>
      <c r="I51" s="558">
        <f t="shared" si="65"/>
        <v>24</v>
      </c>
      <c r="J51" s="177">
        <f t="shared" si="66"/>
        <v>24.5</v>
      </c>
      <c r="K51" s="453">
        <f t="shared" si="67"/>
        <v>48.5</v>
      </c>
      <c r="L51" s="453"/>
      <c r="M51" s="222">
        <f t="shared" si="68"/>
        <v>0.50515463917525771</v>
      </c>
      <c r="N51" s="177">
        <f t="shared" si="5"/>
        <v>8.3502061855670089</v>
      </c>
      <c r="O51" s="177">
        <f t="shared" si="49"/>
        <v>2.2080000000000002</v>
      </c>
      <c r="P51" s="222">
        <f t="shared" si="69"/>
        <v>0.69585051546391741</v>
      </c>
      <c r="Q51" s="222">
        <f t="shared" si="70"/>
        <v>12</v>
      </c>
      <c r="R51" s="222">
        <f t="shared" si="71"/>
        <v>0.73247422680412366</v>
      </c>
      <c r="S51" s="177">
        <f t="shared" si="72"/>
        <v>77.875356346588433</v>
      </c>
      <c r="T51" s="177">
        <f t="shared" si="73"/>
        <v>12</v>
      </c>
      <c r="U51" s="222">
        <f t="shared" si="74"/>
        <v>0.3834156820622987</v>
      </c>
      <c r="V51" s="222">
        <f t="shared" si="75"/>
        <v>1.3419548872180453</v>
      </c>
      <c r="W51" s="222">
        <f t="shared" si="76"/>
        <v>1.3145680527850241</v>
      </c>
      <c r="X51" s="202">
        <f t="shared" si="77"/>
        <v>350</v>
      </c>
      <c r="Y51" s="453">
        <f t="shared" si="50"/>
        <v>350</v>
      </c>
      <c r="AA51" s="222">
        <f t="shared" si="78"/>
        <v>0.41237113402061859</v>
      </c>
      <c r="AB51" s="178">
        <f t="shared" si="79"/>
        <v>1.4138438880706923</v>
      </c>
      <c r="AC51" s="178">
        <f t="shared" si="80"/>
        <v>0.20405994260814117</v>
      </c>
      <c r="AD51" s="178"/>
      <c r="AE51" s="178">
        <f t="shared" si="81"/>
        <v>0.99428571428571422</v>
      </c>
      <c r="AF51" s="562">
        <f t="shared" si="112"/>
        <v>638.12921125644095</v>
      </c>
      <c r="AG51" s="545">
        <f t="shared" si="82"/>
        <v>0.10091999999999998</v>
      </c>
      <c r="AI51" s="178">
        <f t="shared" si="83"/>
        <v>0.40175055540960969</v>
      </c>
      <c r="AJ51" s="178">
        <f t="shared" si="84"/>
        <v>0.40175055540960969</v>
      </c>
      <c r="AK51" s="178">
        <f t="shared" si="85"/>
        <v>1.2827781891923034</v>
      </c>
      <c r="AM51" s="562">
        <f t="shared" si="86"/>
        <v>184.00000000000003</v>
      </c>
      <c r="AN51" s="471">
        <f t="shared" si="87"/>
        <v>350</v>
      </c>
      <c r="AP51">
        <f t="shared" si="88"/>
        <v>184.00000000000003</v>
      </c>
      <c r="AQ51" s="471">
        <f t="shared" si="89"/>
        <v>350</v>
      </c>
      <c r="AR51" s="471"/>
      <c r="AS51" s="5">
        <f t="shared" si="51"/>
        <v>2.8571428571428572</v>
      </c>
      <c r="AT51" s="5">
        <f t="shared" si="90"/>
        <v>1.4061269439336337</v>
      </c>
      <c r="AU51" s="5">
        <f t="shared" si="52"/>
        <v>1.4510159132092235</v>
      </c>
      <c r="AV51" s="5">
        <f t="shared" si="91"/>
        <v>1.3774304756900904</v>
      </c>
      <c r="AW51" s="178">
        <f t="shared" si="53"/>
        <v>0.4921444303767718</v>
      </c>
      <c r="AX51" s="178">
        <f t="shared" si="92"/>
        <v>2.3726315789473689</v>
      </c>
      <c r="AY51" s="178">
        <f t="shared" si="93"/>
        <v>0.20403125716399564</v>
      </c>
      <c r="AZ51" s="178">
        <f t="shared" si="54"/>
        <v>11.628765180034655</v>
      </c>
      <c r="BA51" s="471">
        <f t="shared" si="94"/>
        <v>2.1560613140315721</v>
      </c>
      <c r="BB51" s="5">
        <f t="shared" si="95"/>
        <v>0.11709952983793735</v>
      </c>
      <c r="BC51" s="5"/>
      <c r="BD51" s="178">
        <f t="shared" si="55"/>
        <v>0.16272045342178482</v>
      </c>
      <c r="BE51" s="178">
        <f t="shared" si="96"/>
        <v>0.33059475875368655</v>
      </c>
      <c r="BF51" s="178"/>
      <c r="BG51" s="545">
        <f t="shared" si="97"/>
        <v>9.2672810866269353E-3</v>
      </c>
      <c r="BH51" s="545">
        <f t="shared" si="98"/>
        <v>5.1147867585585927E-2</v>
      </c>
      <c r="BI51" s="545">
        <f t="shared" si="99"/>
        <v>4.3749999999999995E-3</v>
      </c>
      <c r="BJ51" s="545">
        <f t="shared" si="100"/>
        <v>4.1164375000000003E-2</v>
      </c>
      <c r="BK51">
        <f t="shared" si="101"/>
        <v>6.96E-3</v>
      </c>
      <c r="BL51" s="545">
        <f t="shared" si="102"/>
        <v>0.11327827299552386</v>
      </c>
      <c r="BM51" s="471">
        <f t="shared" si="56"/>
        <v>113.27827299552386</v>
      </c>
      <c r="BN51" s="545">
        <f t="shared" si="103"/>
        <v>5.5200000000000006E-2</v>
      </c>
      <c r="BO51" s="545"/>
      <c r="BQ51" s="471">
        <f t="shared" si="57"/>
        <v>55.2</v>
      </c>
      <c r="BR51" s="545">
        <f t="shared" si="104"/>
        <v>2.515404866370168E-3</v>
      </c>
      <c r="BS51" s="545">
        <f t="shared" si="105"/>
        <v>9.8363605063867387E-3</v>
      </c>
      <c r="BT51" s="545">
        <f t="shared" si="106"/>
        <v>1.1722799302297819E-2</v>
      </c>
      <c r="BU51" s="545">
        <f t="shared" si="107"/>
        <v>2.4098377275212135E-2</v>
      </c>
      <c r="BV51" s="545">
        <f t="shared" si="108"/>
        <v>1.2710526315789476E-2</v>
      </c>
      <c r="BW51" s="471">
        <f t="shared" si="58"/>
        <v>36.808903591001609</v>
      </c>
      <c r="BX51" s="178">
        <f t="shared" si="59"/>
        <v>0.20528717658652548</v>
      </c>
      <c r="BY51" s="5">
        <f t="shared" si="60"/>
        <v>2.2080000000000002</v>
      </c>
      <c r="BZ51" s="178">
        <f t="shared" si="61"/>
        <v>0.91493462585878649</v>
      </c>
      <c r="CA51" s="5">
        <f t="shared" si="62"/>
        <v>91.493462585878646</v>
      </c>
      <c r="CD51" s="580">
        <f t="shared" si="109"/>
        <v>-50</v>
      </c>
      <c r="CE51">
        <f t="shared" si="110"/>
        <v>-50</v>
      </c>
    </row>
    <row r="52" spans="5:83" x14ac:dyDescent="0.2">
      <c r="E52" s="175">
        <v>47</v>
      </c>
      <c r="F52" s="222">
        <f t="shared" si="111"/>
        <v>0.188</v>
      </c>
      <c r="G52" s="222"/>
      <c r="H52" s="222">
        <f t="shared" si="64"/>
        <v>2.2560000000000002</v>
      </c>
      <c r="I52" s="558">
        <f t="shared" si="65"/>
        <v>24</v>
      </c>
      <c r="J52" s="177">
        <f t="shared" si="66"/>
        <v>24.5</v>
      </c>
      <c r="K52" s="453">
        <f t="shared" si="67"/>
        <v>48.5</v>
      </c>
      <c r="L52" s="453"/>
      <c r="M52" s="222">
        <f t="shared" si="68"/>
        <v>0.50515463917525771</v>
      </c>
      <c r="N52" s="177">
        <f t="shared" si="5"/>
        <v>8.3502061855670089</v>
      </c>
      <c r="O52" s="177">
        <f t="shared" si="49"/>
        <v>2.2560000000000002</v>
      </c>
      <c r="P52" s="222">
        <f t="shared" si="69"/>
        <v>0.69585051546391741</v>
      </c>
      <c r="Q52" s="222">
        <f t="shared" si="70"/>
        <v>12</v>
      </c>
      <c r="R52" s="222">
        <f t="shared" si="71"/>
        <v>0.73247422680412366</v>
      </c>
      <c r="S52" s="177">
        <f t="shared" si="72"/>
        <v>75.96489429973407</v>
      </c>
      <c r="T52" s="177">
        <f t="shared" si="73"/>
        <v>12</v>
      </c>
      <c r="U52" s="222">
        <f t="shared" si="74"/>
        <v>0.39175080558539216</v>
      </c>
      <c r="V52" s="222">
        <f t="shared" si="75"/>
        <v>1.3711278195488725</v>
      </c>
      <c r="W52" s="222">
        <f t="shared" si="76"/>
        <v>1.3431456191499158</v>
      </c>
      <c r="X52" s="202">
        <f t="shared" si="77"/>
        <v>350</v>
      </c>
      <c r="Y52" s="453">
        <f t="shared" si="50"/>
        <v>350</v>
      </c>
      <c r="AA52" s="222">
        <f t="shared" si="78"/>
        <v>0.41237113402061859</v>
      </c>
      <c r="AB52" s="178">
        <f t="shared" si="79"/>
        <v>1.4138438880706923</v>
      </c>
      <c r="AC52" s="178">
        <f t="shared" si="80"/>
        <v>0.20405994260814117</v>
      </c>
      <c r="AD52" s="178"/>
      <c r="AE52" s="178">
        <f t="shared" si="81"/>
        <v>0.99428571428571422</v>
      </c>
      <c r="AF52" s="562">
        <f t="shared" si="112"/>
        <v>652.00158541418966</v>
      </c>
      <c r="AG52" s="545">
        <f t="shared" si="82"/>
        <v>0.10091999999999998</v>
      </c>
      <c r="AI52" s="178">
        <f t="shared" si="83"/>
        <v>0.40609393088515172</v>
      </c>
      <c r="AJ52" s="178">
        <f t="shared" si="84"/>
        <v>0.40609393088515172</v>
      </c>
      <c r="AK52" s="178">
        <f t="shared" si="85"/>
        <v>1.2859955043593716</v>
      </c>
      <c r="AM52" s="562">
        <f t="shared" si="86"/>
        <v>188</v>
      </c>
      <c r="AN52" s="471">
        <f t="shared" si="87"/>
        <v>350</v>
      </c>
      <c r="AP52">
        <f t="shared" si="88"/>
        <v>188</v>
      </c>
      <c r="AQ52" s="471">
        <f t="shared" si="89"/>
        <v>350</v>
      </c>
      <c r="AR52" s="471"/>
      <c r="AS52" s="5">
        <f t="shared" si="51"/>
        <v>2.8571428571428572</v>
      </c>
      <c r="AT52" s="5">
        <f t="shared" si="90"/>
        <v>1.4213287580980309</v>
      </c>
      <c r="AU52" s="5">
        <f t="shared" si="52"/>
        <v>1.4358140990448263</v>
      </c>
      <c r="AV52" s="5">
        <f t="shared" si="91"/>
        <v>1.3923220487490915</v>
      </c>
      <c r="AW52" s="178">
        <f t="shared" si="53"/>
        <v>0.49746506533431084</v>
      </c>
      <c r="AX52" s="178">
        <f t="shared" si="92"/>
        <v>2.4242105263157891</v>
      </c>
      <c r="AY52" s="178">
        <f t="shared" si="93"/>
        <v>0.2040763870255026</v>
      </c>
      <c r="AZ52" s="178">
        <f t="shared" si="54"/>
        <v>11.878936910093598</v>
      </c>
      <c r="BA52" s="471">
        <f t="shared" si="94"/>
        <v>2.2267483876869152</v>
      </c>
      <c r="BB52" s="5">
        <f t="shared" si="95"/>
        <v>0.11839168886860849</v>
      </c>
      <c r="BC52" s="5"/>
      <c r="BD52" s="178">
        <f t="shared" si="55"/>
        <v>0.16536635943033523</v>
      </c>
      <c r="BE52" s="178">
        <f t="shared" si="96"/>
        <v>0.33241376266740402</v>
      </c>
      <c r="BF52" s="178"/>
      <c r="BG52" s="545">
        <f t="shared" si="97"/>
        <v>9.5711114909349873E-3</v>
      </c>
      <c r="BH52" s="545">
        <f t="shared" si="98"/>
        <v>5.1700833575815876E-2</v>
      </c>
      <c r="BI52" s="545">
        <f t="shared" si="99"/>
        <v>4.3749999999999995E-3</v>
      </c>
      <c r="BJ52" s="545">
        <f t="shared" si="100"/>
        <v>4.1164375000000003E-2</v>
      </c>
      <c r="BK52">
        <f t="shared" si="101"/>
        <v>6.96E-3</v>
      </c>
      <c r="BL52" s="545">
        <f t="shared" si="102"/>
        <v>0.11414988562094848</v>
      </c>
      <c r="BM52" s="471">
        <f t="shared" si="56"/>
        <v>114.14988562094848</v>
      </c>
      <c r="BN52" s="545">
        <f t="shared" si="103"/>
        <v>5.6399999999999999E-2</v>
      </c>
      <c r="BO52" s="545"/>
      <c r="BQ52" s="471">
        <f t="shared" si="57"/>
        <v>56.4</v>
      </c>
      <c r="BR52" s="545">
        <f t="shared" si="104"/>
        <v>2.5978731189680681E-3</v>
      </c>
      <c r="BS52" s="545">
        <f t="shared" si="105"/>
        <v>9.9449018649631089E-3</v>
      </c>
      <c r="BT52" s="545">
        <f t="shared" si="106"/>
        <v>1.2042214607596724E-2</v>
      </c>
      <c r="BU52" s="545">
        <f t="shared" si="107"/>
        <v>2.4609683489322489E-2</v>
      </c>
      <c r="BV52" s="545">
        <f t="shared" si="108"/>
        <v>1.2986842105263158E-2</v>
      </c>
      <c r="BW52" s="471">
        <f t="shared" si="58"/>
        <v>37.59652559458565</v>
      </c>
      <c r="BX52" s="178">
        <f t="shared" si="59"/>
        <v>0.20814641121553412</v>
      </c>
      <c r="BY52" s="5">
        <f t="shared" si="60"/>
        <v>2.2560000000000002</v>
      </c>
      <c r="BZ52" s="178">
        <f t="shared" si="61"/>
        <v>0.91553001466627215</v>
      </c>
      <c r="CA52" s="5">
        <f t="shared" si="62"/>
        <v>91.553001466627222</v>
      </c>
      <c r="CD52" s="580">
        <f t="shared" si="109"/>
        <v>-50</v>
      </c>
      <c r="CE52">
        <f t="shared" si="110"/>
        <v>-50</v>
      </c>
    </row>
    <row r="53" spans="5:83" x14ac:dyDescent="0.2">
      <c r="E53" s="175">
        <v>48</v>
      </c>
      <c r="F53" s="222">
        <f t="shared" si="111"/>
        <v>0.192</v>
      </c>
      <c r="G53" s="222"/>
      <c r="H53" s="222">
        <f t="shared" si="64"/>
        <v>2.3040000000000003</v>
      </c>
      <c r="I53" s="558">
        <f t="shared" si="65"/>
        <v>24</v>
      </c>
      <c r="J53" s="177">
        <f t="shared" si="66"/>
        <v>24.5</v>
      </c>
      <c r="K53" s="453">
        <f t="shared" si="67"/>
        <v>48.5</v>
      </c>
      <c r="L53" s="453"/>
      <c r="M53" s="222">
        <f t="shared" si="68"/>
        <v>0.50515463917525771</v>
      </c>
      <c r="N53" s="177">
        <f t="shared" si="5"/>
        <v>8.3502061855670089</v>
      </c>
      <c r="O53" s="177">
        <f t="shared" si="49"/>
        <v>2.3040000000000003</v>
      </c>
      <c r="P53" s="222">
        <f t="shared" si="69"/>
        <v>0.69585051546391741</v>
      </c>
      <c r="Q53" s="222">
        <f t="shared" si="70"/>
        <v>12</v>
      </c>
      <c r="R53" s="222">
        <f t="shared" si="71"/>
        <v>0.73247422680412366</v>
      </c>
      <c r="S53" s="177">
        <f t="shared" si="72"/>
        <v>74.134081210000829</v>
      </c>
      <c r="T53" s="177">
        <f t="shared" si="73"/>
        <v>12</v>
      </c>
      <c r="U53" s="222">
        <f t="shared" si="74"/>
        <v>0.40008592910848562</v>
      </c>
      <c r="V53" s="222">
        <f t="shared" si="75"/>
        <v>1.4003007518796995</v>
      </c>
      <c r="W53" s="222">
        <f t="shared" si="76"/>
        <v>1.3717231855148075</v>
      </c>
      <c r="X53" s="202">
        <f t="shared" si="77"/>
        <v>350</v>
      </c>
      <c r="Y53" s="453">
        <f t="shared" si="50"/>
        <v>350</v>
      </c>
      <c r="AA53" s="222">
        <f t="shared" si="78"/>
        <v>0.41237113402061859</v>
      </c>
      <c r="AB53" s="178">
        <f t="shared" si="79"/>
        <v>1.4138438880706923</v>
      </c>
      <c r="AC53" s="178">
        <f t="shared" si="80"/>
        <v>0.20405994260814117</v>
      </c>
      <c r="AD53" s="178"/>
      <c r="AE53" s="178">
        <f t="shared" si="81"/>
        <v>0.99428571428571422</v>
      </c>
      <c r="AF53" s="562">
        <f t="shared" si="112"/>
        <v>665.87395957193837</v>
      </c>
      <c r="AG53" s="545">
        <f t="shared" si="82"/>
        <v>0.10091999999999998</v>
      </c>
      <c r="AI53" s="178">
        <f t="shared" si="83"/>
        <v>0.41039134083406165</v>
      </c>
      <c r="AJ53" s="178">
        <f t="shared" si="84"/>
        <v>0.41039134083406165</v>
      </c>
      <c r="AK53" s="178">
        <f t="shared" si="85"/>
        <v>1.2891787709881939</v>
      </c>
      <c r="AM53" s="562">
        <f t="shared" si="86"/>
        <v>192</v>
      </c>
      <c r="AN53" s="471">
        <f t="shared" si="87"/>
        <v>350</v>
      </c>
      <c r="AP53">
        <f t="shared" si="88"/>
        <v>192</v>
      </c>
      <c r="AQ53" s="471">
        <f t="shared" si="89"/>
        <v>350</v>
      </c>
      <c r="AR53" s="471"/>
      <c r="AS53" s="5">
        <f t="shared" si="51"/>
        <v>2.8571428571428572</v>
      </c>
      <c r="AT53" s="5">
        <f t="shared" si="90"/>
        <v>1.4363696929192158</v>
      </c>
      <c r="AU53" s="5">
        <f t="shared" si="52"/>
        <v>1.4207731642236414</v>
      </c>
      <c r="AV53" s="5">
        <f t="shared" si="91"/>
        <v>1.4070560257167828</v>
      </c>
      <c r="AW53" s="178">
        <f t="shared" si="53"/>
        <v>0.50272939252172555</v>
      </c>
      <c r="AX53" s="178">
        <f t="shared" si="92"/>
        <v>2.4757894736842103</v>
      </c>
      <c r="AY53" s="178">
        <f t="shared" si="93"/>
        <v>0.20407555136037742</v>
      </c>
      <c r="AZ53" s="178">
        <f t="shared" si="54"/>
        <v>12.131729926394803</v>
      </c>
      <c r="BA53" s="471">
        <f t="shared" si="94"/>
        <v>2.2981915086707452</v>
      </c>
      <c r="BB53" s="5">
        <f t="shared" si="95"/>
        <v>0.11964405593462245</v>
      </c>
      <c r="BC53" s="5"/>
      <c r="BD53" s="178">
        <f t="shared" si="55"/>
        <v>0.16799822764674557</v>
      </c>
      <c r="BE53" s="178">
        <f t="shared" si="96"/>
        <v>0.33416730172023251</v>
      </c>
      <c r="BF53" s="178"/>
      <c r="BG53" s="545">
        <f t="shared" si="97"/>
        <v>9.8781915723567121E-3</v>
      </c>
      <c r="BH53" s="545">
        <f t="shared" si="98"/>
        <v>5.224794757993647E-2</v>
      </c>
      <c r="BI53" s="545">
        <f t="shared" si="99"/>
        <v>4.3749999999999995E-3</v>
      </c>
      <c r="BJ53" s="545">
        <f t="shared" si="100"/>
        <v>4.1164375000000003E-2</v>
      </c>
      <c r="BK53">
        <f t="shared" si="101"/>
        <v>6.96E-3</v>
      </c>
      <c r="BL53" s="545">
        <f t="shared" si="102"/>
        <v>0.11501920111241312</v>
      </c>
      <c r="BM53" s="471">
        <f t="shared" si="56"/>
        <v>115.01920111241313</v>
      </c>
      <c r="BN53" s="545">
        <f t="shared" si="103"/>
        <v>5.7599999999999998E-2</v>
      </c>
      <c r="BO53" s="545"/>
      <c r="BQ53" s="471">
        <f t="shared" si="57"/>
        <v>57.6</v>
      </c>
      <c r="BR53" s="545">
        <f t="shared" si="104"/>
        <v>2.6812234267825363E-3</v>
      </c>
      <c r="BS53" s="545">
        <f t="shared" si="105"/>
        <v>1.0050100698508282E-2</v>
      </c>
      <c r="BT53" s="545">
        <f t="shared" si="106"/>
        <v>1.2363333569945028E-2</v>
      </c>
      <c r="BU53" s="545">
        <f t="shared" si="107"/>
        <v>2.5120242811502987E-2</v>
      </c>
      <c r="BV53" s="545">
        <f t="shared" si="108"/>
        <v>1.3263157894736843E-2</v>
      </c>
      <c r="BW53" s="471">
        <f t="shared" si="58"/>
        <v>38.383400706239826</v>
      </c>
      <c r="BX53" s="178">
        <f t="shared" si="59"/>
        <v>0.21100260181865296</v>
      </c>
      <c r="BY53" s="5">
        <f t="shared" si="60"/>
        <v>2.3040000000000003</v>
      </c>
      <c r="BZ53" s="178">
        <f t="shared" si="61"/>
        <v>0.91610243199507135</v>
      </c>
      <c r="CA53" s="5">
        <f t="shared" si="62"/>
        <v>91.610243199507138</v>
      </c>
      <c r="CD53" s="580">
        <f t="shared" si="109"/>
        <v>-50</v>
      </c>
      <c r="CE53">
        <f t="shared" si="110"/>
        <v>-50</v>
      </c>
    </row>
    <row r="54" spans="5:83" x14ac:dyDescent="0.2">
      <c r="E54" s="175">
        <v>49</v>
      </c>
      <c r="F54" s="222">
        <f t="shared" si="111"/>
        <v>0.19600000000000001</v>
      </c>
      <c r="G54" s="222"/>
      <c r="H54" s="222">
        <f t="shared" si="64"/>
        <v>2.3520000000000003</v>
      </c>
      <c r="I54" s="558">
        <f t="shared" si="65"/>
        <v>24</v>
      </c>
      <c r="J54" s="177">
        <f t="shared" si="66"/>
        <v>24.5</v>
      </c>
      <c r="K54" s="453">
        <f t="shared" si="67"/>
        <v>48.5</v>
      </c>
      <c r="L54" s="453"/>
      <c r="M54" s="222">
        <f t="shared" si="68"/>
        <v>0.50515463917525771</v>
      </c>
      <c r="N54" s="177">
        <f t="shared" si="5"/>
        <v>8.3502061855670089</v>
      </c>
      <c r="O54" s="177">
        <f t="shared" si="49"/>
        <v>2.3520000000000003</v>
      </c>
      <c r="P54" s="222">
        <f t="shared" si="69"/>
        <v>0.69585051546391741</v>
      </c>
      <c r="Q54" s="222">
        <f t="shared" si="70"/>
        <v>12</v>
      </c>
      <c r="R54" s="222">
        <f t="shared" si="71"/>
        <v>0.73247422680412366</v>
      </c>
      <c r="S54" s="177">
        <f t="shared" si="72"/>
        <v>72.378041053741768</v>
      </c>
      <c r="T54" s="177">
        <f t="shared" si="73"/>
        <v>12</v>
      </c>
      <c r="U54" s="222">
        <f t="shared" si="74"/>
        <v>0.40842105263157907</v>
      </c>
      <c r="V54" s="222">
        <f t="shared" si="75"/>
        <v>1.4294736842105267</v>
      </c>
      <c r="W54" s="222">
        <f t="shared" si="76"/>
        <v>1.4003007518796997</v>
      </c>
      <c r="X54" s="202">
        <f t="shared" si="77"/>
        <v>350</v>
      </c>
      <c r="Y54" s="453">
        <f t="shared" si="50"/>
        <v>350</v>
      </c>
      <c r="AA54" s="222">
        <f t="shared" si="78"/>
        <v>0.41237113402061859</v>
      </c>
      <c r="AB54" s="178">
        <f t="shared" si="79"/>
        <v>1.4138438880706923</v>
      </c>
      <c r="AC54" s="178">
        <f t="shared" si="80"/>
        <v>0.20405994260814117</v>
      </c>
      <c r="AD54" s="178"/>
      <c r="AE54" s="178">
        <f t="shared" si="81"/>
        <v>0.99428571428571422</v>
      </c>
      <c r="AF54" s="562">
        <f t="shared" si="112"/>
        <v>679.74633372968708</v>
      </c>
      <c r="AG54" s="545">
        <f t="shared" si="82"/>
        <v>0.10091999999999998</v>
      </c>
      <c r="AI54" s="178">
        <f t="shared" si="83"/>
        <v>0.41464421443136468</v>
      </c>
      <c r="AJ54" s="178">
        <f t="shared" si="84"/>
        <v>0.41464421443136468</v>
      </c>
      <c r="AK54" s="178">
        <f t="shared" si="85"/>
        <v>1.2923290477269367</v>
      </c>
      <c r="AM54" s="562">
        <f t="shared" si="86"/>
        <v>196</v>
      </c>
      <c r="AN54" s="471">
        <f t="shared" si="87"/>
        <v>350</v>
      </c>
      <c r="AP54">
        <f t="shared" si="88"/>
        <v>196</v>
      </c>
      <c r="AQ54" s="471">
        <f t="shared" si="89"/>
        <v>350</v>
      </c>
      <c r="AR54" s="471"/>
      <c r="AS54" s="5">
        <f t="shared" si="51"/>
        <v>2.8571428571428572</v>
      </c>
      <c r="AT54" s="5">
        <f t="shared" si="90"/>
        <v>1.4512547505097764</v>
      </c>
      <c r="AU54" s="5">
        <f t="shared" si="52"/>
        <v>1.4058881066330808</v>
      </c>
      <c r="AV54" s="5">
        <f t="shared" si="91"/>
        <v>1.4216373066218218</v>
      </c>
      <c r="AW54" s="178">
        <f t="shared" si="53"/>
        <v>0.50793916267842176</v>
      </c>
      <c r="AX54" s="178">
        <f t="shared" si="92"/>
        <v>2.5273684210526319</v>
      </c>
      <c r="AY54" s="178">
        <f t="shared" si="93"/>
        <v>0.20403017934364534</v>
      </c>
      <c r="AZ54" s="178">
        <f t="shared" si="54"/>
        <v>12.387228346233126</v>
      </c>
      <c r="BA54" s="471">
        <f t="shared" si="94"/>
        <v>2.3703827591659681</v>
      </c>
      <c r="BB54" s="5">
        <f t="shared" si="95"/>
        <v>0.12085704776319466</v>
      </c>
      <c r="BC54" s="5"/>
      <c r="BD54" s="178">
        <f t="shared" si="55"/>
        <v>0.17061642274135205</v>
      </c>
      <c r="BE54" s="178">
        <f t="shared" si="96"/>
        <v>0.33585698034378914</v>
      </c>
      <c r="BF54" s="178"/>
      <c r="BG54" s="545">
        <f t="shared" si="97"/>
        <v>1.0188487298169513E-2</v>
      </c>
      <c r="BH54" s="545">
        <f t="shared" si="98"/>
        <v>5.2789391549793112E-2</v>
      </c>
      <c r="BI54" s="545">
        <f t="shared" si="99"/>
        <v>4.3749999999999995E-3</v>
      </c>
      <c r="BJ54" s="545">
        <f t="shared" si="100"/>
        <v>4.1164375000000003E-2</v>
      </c>
      <c r="BK54">
        <f t="shared" si="101"/>
        <v>6.96E-3</v>
      </c>
      <c r="BL54" s="545">
        <f t="shared" si="102"/>
        <v>0.11588636875280049</v>
      </c>
      <c r="BM54" s="471">
        <f t="shared" si="56"/>
        <v>115.88636875280049</v>
      </c>
      <c r="BN54" s="545">
        <f t="shared" si="103"/>
        <v>5.8799999999999998E-2</v>
      </c>
      <c r="BO54" s="545"/>
      <c r="BQ54" s="471">
        <f t="shared" si="57"/>
        <v>58.8</v>
      </c>
      <c r="BR54" s="545">
        <f t="shared" si="104"/>
        <v>2.7654465523602968E-3</v>
      </c>
      <c r="BS54" s="545">
        <f t="shared" si="105"/>
        <v>1.0151992012108353E-2</v>
      </c>
      <c r="BT54" s="545">
        <f t="shared" si="106"/>
        <v>1.268612949634595E-2</v>
      </c>
      <c r="BU54" s="545">
        <f t="shared" si="107"/>
        <v>2.5630054032684296E-2</v>
      </c>
      <c r="BV54" s="545">
        <f t="shared" si="108"/>
        <v>1.3539473684210528E-2</v>
      </c>
      <c r="BW54" s="471">
        <f t="shared" si="58"/>
        <v>39.169527716894827</v>
      </c>
      <c r="BX54" s="178">
        <f t="shared" si="59"/>
        <v>0.2138558964696953</v>
      </c>
      <c r="BY54" s="5">
        <f t="shared" si="60"/>
        <v>2.3520000000000003</v>
      </c>
      <c r="BZ54" s="178">
        <f t="shared" si="61"/>
        <v>0.91665319289211245</v>
      </c>
      <c r="CA54" s="5">
        <f t="shared" si="62"/>
        <v>91.66531928921124</v>
      </c>
      <c r="CD54" s="580">
        <f t="shared" si="109"/>
        <v>-50</v>
      </c>
      <c r="CE54">
        <f t="shared" si="110"/>
        <v>-50</v>
      </c>
    </row>
    <row r="55" spans="5:83" x14ac:dyDescent="0.2">
      <c r="E55" s="175">
        <v>50</v>
      </c>
      <c r="F55" s="222">
        <f t="shared" si="111"/>
        <v>0.2</v>
      </c>
      <c r="G55" s="222"/>
      <c r="H55" s="222">
        <f t="shared" si="64"/>
        <v>2.4000000000000004</v>
      </c>
      <c r="I55" s="558">
        <f t="shared" si="65"/>
        <v>24</v>
      </c>
      <c r="J55" s="177">
        <f t="shared" si="66"/>
        <v>24.5</v>
      </c>
      <c r="K55" s="453">
        <f t="shared" si="67"/>
        <v>48.5</v>
      </c>
      <c r="L55" s="453"/>
      <c r="M55" s="222">
        <f t="shared" si="68"/>
        <v>0.50515463917525771</v>
      </c>
      <c r="N55" s="177">
        <f t="shared" si="5"/>
        <v>8.3502061855670089</v>
      </c>
      <c r="O55" s="177">
        <f t="shared" si="49"/>
        <v>2.4000000000000004</v>
      </c>
      <c r="P55" s="222">
        <f t="shared" si="69"/>
        <v>0.69585051546391741</v>
      </c>
      <c r="Q55" s="222">
        <f t="shared" si="70"/>
        <v>12</v>
      </c>
      <c r="R55" s="222">
        <f t="shared" si="71"/>
        <v>0.73247422680412366</v>
      </c>
      <c r="S55" s="177">
        <f t="shared" si="72"/>
        <v>70.692287894696207</v>
      </c>
      <c r="T55" s="177">
        <f t="shared" si="73"/>
        <v>12</v>
      </c>
      <c r="U55" s="222">
        <f t="shared" si="74"/>
        <v>0.41675617615467253</v>
      </c>
      <c r="V55" s="222">
        <f t="shared" si="75"/>
        <v>1.4586466165413539</v>
      </c>
      <c r="W55" s="222">
        <f t="shared" si="76"/>
        <v>1.4288783182445914</v>
      </c>
      <c r="X55" s="202">
        <f t="shared" si="77"/>
        <v>350</v>
      </c>
      <c r="Y55" s="453">
        <f t="shared" si="50"/>
        <v>346.31735572324357</v>
      </c>
      <c r="AA55" s="222">
        <f t="shared" si="78"/>
        <v>0.41237113402061859</v>
      </c>
      <c r="AB55" s="178">
        <f t="shared" si="79"/>
        <v>1.4138438880706923</v>
      </c>
      <c r="AC55" s="178">
        <f t="shared" si="80"/>
        <v>0.20405994260814117</v>
      </c>
      <c r="AD55" s="178"/>
      <c r="AE55" s="178">
        <f t="shared" si="81"/>
        <v>0.99428571428571422</v>
      </c>
      <c r="AF55" s="562">
        <f t="shared" si="112"/>
        <v>693.61870788743579</v>
      </c>
      <c r="AG55" s="545">
        <f t="shared" si="82"/>
        <v>0.10091999999999998</v>
      </c>
      <c r="AI55" s="178">
        <f t="shared" si="83"/>
        <v>0.41885390829169555</v>
      </c>
      <c r="AJ55" s="178">
        <f t="shared" si="84"/>
        <v>0.41885390829169555</v>
      </c>
      <c r="AK55" s="178">
        <f t="shared" si="85"/>
        <v>1.2954473394753301</v>
      </c>
      <c r="AM55" s="562">
        <f t="shared" si="86"/>
        <v>200</v>
      </c>
      <c r="AN55" s="471">
        <f t="shared" si="87"/>
        <v>346.31735572324357</v>
      </c>
      <c r="AP55">
        <f t="shared" si="88"/>
        <v>200</v>
      </c>
      <c r="AQ55" s="471">
        <f t="shared" si="89"/>
        <v>346.31735572324357</v>
      </c>
      <c r="AR55" s="471"/>
      <c r="AS55" s="5">
        <f t="shared" si="51"/>
        <v>2.8875249347859455</v>
      </c>
      <c r="AT55" s="5">
        <f t="shared" si="90"/>
        <v>1.4659886790209344</v>
      </c>
      <c r="AU55" s="5">
        <f t="shared" si="52"/>
        <v>1.4215362557650111</v>
      </c>
      <c r="AV55" s="5">
        <f t="shared" si="91"/>
        <v>1.4360705427143845</v>
      </c>
      <c r="AW55" s="178">
        <f t="shared" si="53"/>
        <v>0.50769732283874092</v>
      </c>
      <c r="AX55" s="178">
        <f t="shared" si="92"/>
        <v>2.5518120948028473</v>
      </c>
      <c r="AY55" s="178">
        <f t="shared" si="93"/>
        <v>0.20620290039145822</v>
      </c>
      <c r="AZ55" s="178">
        <f t="shared" si="54"/>
        <v>12.375248311049237</v>
      </c>
      <c r="BA55" s="471">
        <f t="shared" si="94"/>
        <v>2.4433144650348906</v>
      </c>
      <c r="BB55" s="5">
        <f t="shared" si="95"/>
        <v>0.12469616278640447</v>
      </c>
      <c r="BC55" s="5"/>
      <c r="BD55" s="178">
        <f t="shared" si="55"/>
        <v>0.17230757940495309</v>
      </c>
      <c r="BE55" s="178">
        <f t="shared" si="96"/>
        <v>0.33935014509116385</v>
      </c>
      <c r="BF55" s="178"/>
      <c r="BG55" s="545">
        <f t="shared" si="97"/>
        <v>1.0391465672137975E-2</v>
      </c>
      <c r="BH55" s="545">
        <f t="shared" si="98"/>
        <v>5.2764257480740567E-2</v>
      </c>
      <c r="BI55" s="545">
        <f t="shared" si="99"/>
        <v>4.3289669465405439E-3</v>
      </c>
      <c r="BJ55" s="545">
        <f t="shared" si="100"/>
        <v>4.0731249999999983E-2</v>
      </c>
      <c r="BK55">
        <f t="shared" si="101"/>
        <v>6.96E-3</v>
      </c>
      <c r="BL55" s="545">
        <f t="shared" si="102"/>
        <v>0.11559214613453826</v>
      </c>
      <c r="BM55" s="471">
        <f t="shared" si="56"/>
        <v>115.59214613453827</v>
      </c>
      <c r="BN55" s="545">
        <f t="shared" si="103"/>
        <v>0.06</v>
      </c>
      <c r="BO55" s="545"/>
      <c r="BQ55" s="471">
        <f t="shared" si="57"/>
        <v>60</v>
      </c>
      <c r="BR55" s="545">
        <f t="shared" si="104"/>
        <v>2.8205406824374502E-3</v>
      </c>
      <c r="BS55" s="545">
        <f t="shared" si="105"/>
        <v>1.0364266887605455E-2</v>
      </c>
      <c r="BT55" s="545">
        <f t="shared" si="106"/>
        <v>1.267103459778174E-2</v>
      </c>
      <c r="BU55" s="545">
        <f t="shared" si="107"/>
        <v>2.5883143308931537E-2</v>
      </c>
      <c r="BV55" s="545">
        <f t="shared" si="108"/>
        <v>1.3670421936443831E-2</v>
      </c>
      <c r="BW55" s="471">
        <f t="shared" si="58"/>
        <v>39.553565245375374</v>
      </c>
      <c r="BX55" s="178">
        <f t="shared" si="59"/>
        <v>0.21514571137991365</v>
      </c>
      <c r="BY55" s="5">
        <f t="shared" si="60"/>
        <v>2.4000000000000004</v>
      </c>
      <c r="BZ55" s="178">
        <f t="shared" si="61"/>
        <v>0.9177308895471108</v>
      </c>
      <c r="CA55" s="5">
        <f t="shared" si="62"/>
        <v>91.773088954711085</v>
      </c>
      <c r="CD55" s="580">
        <f t="shared" si="109"/>
        <v>-50</v>
      </c>
      <c r="CE55">
        <f t="shared" si="110"/>
        <v>-50</v>
      </c>
    </row>
    <row r="56" spans="5:83" x14ac:dyDescent="0.2">
      <c r="E56" s="175">
        <v>51</v>
      </c>
      <c r="F56" s="222">
        <f t="shared" si="111"/>
        <v>0.20400000000000001</v>
      </c>
      <c r="G56" s="222"/>
      <c r="H56" s="222">
        <f t="shared" si="64"/>
        <v>2.4480000000000004</v>
      </c>
      <c r="I56" s="558">
        <f t="shared" si="65"/>
        <v>24</v>
      </c>
      <c r="J56" s="177">
        <f t="shared" si="66"/>
        <v>24.5</v>
      </c>
      <c r="K56" s="453">
        <f t="shared" si="67"/>
        <v>48.5</v>
      </c>
      <c r="L56" s="453"/>
      <c r="M56" s="222">
        <f t="shared" si="68"/>
        <v>0.50515463917525771</v>
      </c>
      <c r="N56" s="177">
        <f t="shared" si="5"/>
        <v>8.3502061855670089</v>
      </c>
      <c r="O56" s="177">
        <f t="shared" si="49"/>
        <v>2.4480000000000004</v>
      </c>
      <c r="P56" s="222">
        <f t="shared" si="69"/>
        <v>0.69585051546391741</v>
      </c>
      <c r="Q56" s="222">
        <f t="shared" si="70"/>
        <v>12</v>
      </c>
      <c r="R56" s="222">
        <f t="shared" si="71"/>
        <v>0.73247422680412366</v>
      </c>
      <c r="S56" s="177">
        <f t="shared" si="72"/>
        <v>69.072687640211015</v>
      </c>
      <c r="T56" s="177">
        <f t="shared" si="73"/>
        <v>12</v>
      </c>
      <c r="U56" s="222">
        <f t="shared" si="74"/>
        <v>0.42509129967776599</v>
      </c>
      <c r="V56" s="222">
        <f t="shared" si="75"/>
        <v>1.4878195488721808</v>
      </c>
      <c r="W56" s="222">
        <f t="shared" si="76"/>
        <v>1.4574558846094832</v>
      </c>
      <c r="X56" s="202">
        <f t="shared" si="77"/>
        <v>350</v>
      </c>
      <c r="Y56" s="453">
        <f t="shared" si="50"/>
        <v>339.52681933651337</v>
      </c>
      <c r="AA56" s="222">
        <f t="shared" si="78"/>
        <v>0.41237113402061859</v>
      </c>
      <c r="AB56" s="178">
        <f t="shared" si="79"/>
        <v>1.4138438880706923</v>
      </c>
      <c r="AC56" s="178">
        <f t="shared" si="80"/>
        <v>0.20405994260814117</v>
      </c>
      <c r="AD56" s="178"/>
      <c r="AE56" s="178">
        <f t="shared" si="81"/>
        <v>0.99428571428571422</v>
      </c>
      <c r="AF56" s="562">
        <f t="shared" si="112"/>
        <v>707.49108204518461</v>
      </c>
      <c r="AG56" s="545">
        <f t="shared" si="82"/>
        <v>0.10091999999999998</v>
      </c>
      <c r="AI56" s="178">
        <f t="shared" si="83"/>
        <v>0.42302171152442358</v>
      </c>
      <c r="AJ56" s="178">
        <f t="shared" si="84"/>
        <v>0.42302171152442358</v>
      </c>
      <c r="AK56" s="178">
        <f t="shared" si="85"/>
        <v>1.2985346011292027</v>
      </c>
      <c r="AM56" s="562">
        <f t="shared" si="86"/>
        <v>204.00000000000003</v>
      </c>
      <c r="AN56" s="471">
        <f t="shared" si="87"/>
        <v>339.52681933651337</v>
      </c>
      <c r="AP56">
        <f t="shared" si="88"/>
        <v>204.00000000000003</v>
      </c>
      <c r="AQ56" s="471">
        <f t="shared" si="89"/>
        <v>339.52681933651337</v>
      </c>
      <c r="AR56" s="471"/>
      <c r="AS56" s="5">
        <f t="shared" si="51"/>
        <v>2.945275433481664</v>
      </c>
      <c r="AT56" s="5">
        <f t="shared" si="90"/>
        <v>1.4805759903354827</v>
      </c>
      <c r="AU56" s="5">
        <f t="shared" si="52"/>
        <v>1.4646994431461813</v>
      </c>
      <c r="AV56" s="5">
        <f t="shared" si="91"/>
        <v>1.4503601537980237</v>
      </c>
      <c r="AW56" s="178">
        <f t="shared" si="53"/>
        <v>0.5026952567846148</v>
      </c>
      <c r="AX56" s="178">
        <f t="shared" si="92"/>
        <v>2.5518120948028473</v>
      </c>
      <c r="AY56" s="178">
        <f t="shared" si="93"/>
        <v>0.21037070362418622</v>
      </c>
      <c r="AZ56" s="178">
        <f t="shared" si="54"/>
        <v>12.130073488566621</v>
      </c>
      <c r="BA56" s="471">
        <f t="shared" si="94"/>
        <v>2.5169791835703208</v>
      </c>
      <c r="BB56" s="5">
        <f t="shared" si="95"/>
        <v>0.13105205543939519</v>
      </c>
      <c r="BC56" s="5"/>
      <c r="BD56" s="178">
        <f t="shared" si="55"/>
        <v>0.17316273013108424</v>
      </c>
      <c r="BE56" s="178">
        <f t="shared" si="96"/>
        <v>0.34446359285455314</v>
      </c>
      <c r="BF56" s="178"/>
      <c r="BG56" s="545">
        <f t="shared" si="97"/>
        <v>1.0494865887257747E-2</v>
      </c>
      <c r="BH56" s="545">
        <f t="shared" si="98"/>
        <v>5.2244399901543892E-2</v>
      </c>
      <c r="BI56" s="545">
        <f t="shared" si="99"/>
        <v>4.2440852417064169E-3</v>
      </c>
      <c r="BJ56" s="545">
        <f t="shared" si="100"/>
        <v>3.9932598039215679E-2</v>
      </c>
      <c r="BK56">
        <f t="shared" si="101"/>
        <v>6.96E-3</v>
      </c>
      <c r="BL56" s="545">
        <f t="shared" si="102"/>
        <v>0.11429156704223867</v>
      </c>
      <c r="BM56" s="471">
        <f t="shared" si="56"/>
        <v>114.29156704223867</v>
      </c>
      <c r="BN56" s="545">
        <f t="shared" si="103"/>
        <v>6.1200000000000004E-2</v>
      </c>
      <c r="BO56" s="545"/>
      <c r="BQ56" s="471">
        <f t="shared" si="57"/>
        <v>61.2</v>
      </c>
      <c r="BR56" s="545">
        <f t="shared" si="104"/>
        <v>2.8486064551128173E-3</v>
      </c>
      <c r="BS56" s="545">
        <f t="shared" si="105"/>
        <v>1.0678965012204061E-2</v>
      </c>
      <c r="BT56" s="545">
        <f t="shared" si="106"/>
        <v>1.236123497565722E-2</v>
      </c>
      <c r="BU56" s="545">
        <f t="shared" si="107"/>
        <v>2.5916853810344295E-2</v>
      </c>
      <c r="BV56" s="545">
        <f t="shared" si="108"/>
        <v>1.3670421936443829E-2</v>
      </c>
      <c r="BW56" s="471">
        <f t="shared" si="58"/>
        <v>39.587275746788123</v>
      </c>
      <c r="BX56" s="178">
        <f t="shared" si="59"/>
        <v>0.21507884278902681</v>
      </c>
      <c r="BY56" s="5">
        <f t="shared" si="60"/>
        <v>2.4480000000000004</v>
      </c>
      <c r="BZ56" s="178">
        <f t="shared" si="61"/>
        <v>0.91923677236541157</v>
      </c>
      <c r="CA56" s="5">
        <f t="shared" si="62"/>
        <v>91.923677236541153</v>
      </c>
      <c r="CD56" s="580">
        <f t="shared" si="109"/>
        <v>-50</v>
      </c>
      <c r="CE56">
        <f t="shared" si="110"/>
        <v>-50</v>
      </c>
    </row>
    <row r="57" spans="5:83" x14ac:dyDescent="0.2">
      <c r="E57" s="175">
        <v>52</v>
      </c>
      <c r="F57" s="222">
        <f t="shared" si="111"/>
        <v>0.20800000000000002</v>
      </c>
      <c r="G57" s="222"/>
      <c r="H57" s="222">
        <f t="shared" si="64"/>
        <v>2.4960000000000004</v>
      </c>
      <c r="I57" s="558">
        <f t="shared" si="65"/>
        <v>24</v>
      </c>
      <c r="J57" s="177">
        <f t="shared" si="66"/>
        <v>24.5</v>
      </c>
      <c r="K57" s="453">
        <f t="shared" si="67"/>
        <v>48.5</v>
      </c>
      <c r="L57" s="453"/>
      <c r="M57" s="222">
        <f t="shared" si="68"/>
        <v>0.50515463917525771</v>
      </c>
      <c r="N57" s="177">
        <f t="shared" si="5"/>
        <v>8.3502061855670089</v>
      </c>
      <c r="O57" s="177">
        <f t="shared" si="49"/>
        <v>2.4960000000000004</v>
      </c>
      <c r="P57" s="222">
        <f t="shared" si="69"/>
        <v>0.69585051546391741</v>
      </c>
      <c r="Q57" s="222">
        <f t="shared" si="70"/>
        <v>12</v>
      </c>
      <c r="R57" s="222">
        <f t="shared" si="71"/>
        <v>0.73247422680412366</v>
      </c>
      <c r="S57" s="177">
        <f t="shared" si="72"/>
        <v>67.515424210206945</v>
      </c>
      <c r="T57" s="177">
        <f t="shared" si="73"/>
        <v>12</v>
      </c>
      <c r="U57" s="222">
        <f t="shared" si="74"/>
        <v>0.43342642320085945</v>
      </c>
      <c r="V57" s="222">
        <f t="shared" si="75"/>
        <v>1.516992481203008</v>
      </c>
      <c r="W57" s="222">
        <f t="shared" si="76"/>
        <v>1.4860334509743753</v>
      </c>
      <c r="X57" s="202">
        <f t="shared" si="77"/>
        <v>350</v>
      </c>
      <c r="Y57" s="453">
        <f t="shared" si="50"/>
        <v>332.99745742619575</v>
      </c>
      <c r="AA57" s="222">
        <f t="shared" si="78"/>
        <v>0.41237113402061859</v>
      </c>
      <c r="AB57" s="178">
        <f t="shared" si="79"/>
        <v>1.4138438880706923</v>
      </c>
      <c r="AC57" s="178">
        <f t="shared" si="80"/>
        <v>0.20405994260814117</v>
      </c>
      <c r="AD57" s="178"/>
      <c r="AE57" s="178">
        <f t="shared" si="81"/>
        <v>0.99428571428571422</v>
      </c>
      <c r="AF57" s="562">
        <f t="shared" si="112"/>
        <v>721.36345620293321</v>
      </c>
      <c r="AG57" s="545">
        <f t="shared" si="82"/>
        <v>0.10091999999999998</v>
      </c>
      <c r="AI57" s="178">
        <f t="shared" si="83"/>
        <v>0.42714885034479166</v>
      </c>
      <c r="AJ57" s="178">
        <f t="shared" si="84"/>
        <v>0.43342642320085945</v>
      </c>
      <c r="AK57" s="178">
        <f t="shared" si="85"/>
        <v>1.3062417949635996</v>
      </c>
      <c r="AM57" s="562">
        <f t="shared" si="86"/>
        <v>208.00000000000003</v>
      </c>
      <c r="AN57" s="471">
        <f t="shared" si="87"/>
        <v>332.99745742619575</v>
      </c>
      <c r="AP57">
        <f t="shared" si="88"/>
        <v>208.00000000000003</v>
      </c>
      <c r="AQ57" s="471">
        <f t="shared" si="89"/>
        <v>332.99745742619575</v>
      </c>
      <c r="AR57" s="471"/>
      <c r="AS57" s="5">
        <f t="shared" si="51"/>
        <v>3.0030259321773833</v>
      </c>
      <c r="AT57" s="5">
        <f t="shared" si="90"/>
        <v>1.516992481203008</v>
      </c>
      <c r="AU57" s="5">
        <f t="shared" si="52"/>
        <v>1.4860334509743753</v>
      </c>
      <c r="AV57" s="5">
        <f t="shared" si="91"/>
        <v>1.4860334509743753</v>
      </c>
      <c r="AW57" s="178">
        <f t="shared" si="53"/>
        <v>0.50515463917525771</v>
      </c>
      <c r="AX57" s="178">
        <f t="shared" si="92"/>
        <v>2.627368421052632</v>
      </c>
      <c r="AY57" s="178">
        <f t="shared" si="93"/>
        <v>0.21447905477980675</v>
      </c>
      <c r="AZ57" s="178">
        <f t="shared" si="54"/>
        <v>12.249999999999996</v>
      </c>
      <c r="BA57" s="471">
        <f t="shared" si="94"/>
        <v>2.6294536340852139</v>
      </c>
      <c r="BB57" s="5">
        <f t="shared" si="95"/>
        <v>0.13556796394853951</v>
      </c>
      <c r="BC57" s="5"/>
      <c r="BD57" s="178">
        <f t="shared" si="55"/>
        <v>0.1778553483067796</v>
      </c>
      <c r="BE57" s="178">
        <f t="shared" si="96"/>
        <v>0.35206228533165895</v>
      </c>
      <c r="BF57" s="178"/>
      <c r="BG57" s="545">
        <f t="shared" si="97"/>
        <v>1.107138372246406E-2</v>
      </c>
      <c r="BH57" s="545">
        <f t="shared" si="98"/>
        <v>5.2499999999999998E-2</v>
      </c>
      <c r="BI57" s="545">
        <f t="shared" si="99"/>
        <v>4.1624682178274469E-3</v>
      </c>
      <c r="BJ57" s="545">
        <f t="shared" si="100"/>
        <v>3.9164663461538449E-2</v>
      </c>
      <c r="BK57">
        <f t="shared" si="101"/>
        <v>6.96E-3</v>
      </c>
      <c r="BL57" s="545">
        <f t="shared" si="102"/>
        <v>0.11429698543601471</v>
      </c>
      <c r="BM57" s="471">
        <f t="shared" si="56"/>
        <v>114.29698543601471</v>
      </c>
      <c r="BN57" s="545">
        <f t="shared" si="103"/>
        <v>6.2400000000000004E-2</v>
      </c>
      <c r="BO57" s="545"/>
      <c r="BQ57" s="471">
        <f t="shared" si="57"/>
        <v>62.400000000000006</v>
      </c>
      <c r="BR57" s="545">
        <f t="shared" si="104"/>
        <v>3.0050898675259593E-3</v>
      </c>
      <c r="BS57" s="545">
        <f t="shared" si="105"/>
        <v>1.1155306747765541E-2</v>
      </c>
      <c r="BT57" s="545">
        <f t="shared" si="106"/>
        <v>1.2512980214660071E-2</v>
      </c>
      <c r="BU57" s="545">
        <f t="shared" si="107"/>
        <v>2.6703627546521631E-2</v>
      </c>
      <c r="BV57" s="545">
        <f t="shared" si="108"/>
        <v>1.4075187969924819E-2</v>
      </c>
      <c r="BW57" s="471">
        <f t="shared" si="58"/>
        <v>40.77881551644645</v>
      </c>
      <c r="BX57" s="178">
        <f t="shared" si="59"/>
        <v>0.21747580095246119</v>
      </c>
      <c r="BY57" s="5">
        <f t="shared" si="60"/>
        <v>2.4960000000000004</v>
      </c>
      <c r="BZ57" s="178">
        <f t="shared" si="61"/>
        <v>0.91985342162398331</v>
      </c>
      <c r="CA57" s="5">
        <f t="shared" si="62"/>
        <v>91.985342162398325</v>
      </c>
      <c r="CD57" s="580">
        <f t="shared" si="109"/>
        <v>-50</v>
      </c>
      <c r="CE57">
        <f t="shared" si="110"/>
        <v>-50</v>
      </c>
    </row>
    <row r="58" spans="5:83" x14ac:dyDescent="0.2">
      <c r="E58" s="175">
        <v>53</v>
      </c>
      <c r="F58" s="222">
        <f t="shared" si="111"/>
        <v>0.21200000000000002</v>
      </c>
      <c r="G58" s="222"/>
      <c r="H58" s="222">
        <f t="shared" si="64"/>
        <v>2.5440000000000005</v>
      </c>
      <c r="I58" s="558">
        <f t="shared" si="65"/>
        <v>24</v>
      </c>
      <c r="J58" s="177">
        <f t="shared" si="66"/>
        <v>24.5</v>
      </c>
      <c r="K58" s="453">
        <f t="shared" si="67"/>
        <v>48.5</v>
      </c>
      <c r="L58" s="453"/>
      <c r="M58" s="222">
        <f t="shared" si="68"/>
        <v>0.50515463917525771</v>
      </c>
      <c r="N58" s="177">
        <f t="shared" si="5"/>
        <v>8.3502061855670089</v>
      </c>
      <c r="O58" s="177">
        <f t="shared" si="49"/>
        <v>2.5440000000000005</v>
      </c>
      <c r="P58" s="222">
        <f t="shared" si="69"/>
        <v>0.69585051546391741</v>
      </c>
      <c r="Q58" s="222">
        <f t="shared" si="70"/>
        <v>12</v>
      </c>
      <c r="R58" s="222">
        <f t="shared" si="71"/>
        <v>0.73247422680412366</v>
      </c>
      <c r="S58" s="177">
        <f t="shared" si="72"/>
        <v>66.016969536074797</v>
      </c>
      <c r="T58" s="177">
        <f t="shared" si="73"/>
        <v>12</v>
      </c>
      <c r="U58" s="222">
        <f t="shared" si="74"/>
        <v>0.4417615467239529</v>
      </c>
      <c r="V58" s="222">
        <f t="shared" si="75"/>
        <v>1.546165413533835</v>
      </c>
      <c r="W58" s="222">
        <f t="shared" si="76"/>
        <v>1.5146110173392668</v>
      </c>
      <c r="X58" s="202">
        <f t="shared" si="77"/>
        <v>350</v>
      </c>
      <c r="Y58" s="453">
        <f t="shared" si="50"/>
        <v>326.7144865313619</v>
      </c>
      <c r="AA58" s="222">
        <f t="shared" si="78"/>
        <v>0.41237113402061859</v>
      </c>
      <c r="AB58" s="178">
        <f t="shared" si="79"/>
        <v>1.4138438880706923</v>
      </c>
      <c r="AC58" s="178">
        <f t="shared" si="80"/>
        <v>0.20405994260814117</v>
      </c>
      <c r="AD58" s="178"/>
      <c r="AE58" s="178">
        <f t="shared" si="81"/>
        <v>0.99428571428571422</v>
      </c>
      <c r="AF58" s="562">
        <f t="shared" si="112"/>
        <v>735.23583036068203</v>
      </c>
      <c r="AG58" s="545">
        <f t="shared" si="82"/>
        <v>0.10091999999999998</v>
      </c>
      <c r="AI58" s="178">
        <f t="shared" si="83"/>
        <v>0.43123649228781852</v>
      </c>
      <c r="AJ58" s="178">
        <f t="shared" si="84"/>
        <v>0.4417615467239529</v>
      </c>
      <c r="AK58" s="178">
        <f t="shared" si="85"/>
        <v>1.3124159605362613</v>
      </c>
      <c r="AM58" s="562">
        <f t="shared" si="86"/>
        <v>212.00000000000003</v>
      </c>
      <c r="AN58" s="471">
        <f t="shared" si="87"/>
        <v>326.7144865313619</v>
      </c>
      <c r="AP58">
        <f t="shared" si="88"/>
        <v>212.00000000000003</v>
      </c>
      <c r="AQ58" s="471">
        <f t="shared" si="89"/>
        <v>326.7144865313619</v>
      </c>
      <c r="AR58" s="471"/>
      <c r="AS58" s="5">
        <f t="shared" si="51"/>
        <v>3.0607764308731018</v>
      </c>
      <c r="AT58" s="5">
        <f t="shared" si="90"/>
        <v>1.546165413533835</v>
      </c>
      <c r="AU58" s="5">
        <f t="shared" si="52"/>
        <v>1.5146110173392668</v>
      </c>
      <c r="AV58" s="5">
        <f t="shared" si="91"/>
        <v>1.5146110173392668</v>
      </c>
      <c r="AW58" s="178">
        <f t="shared" si="53"/>
        <v>0.50515463917525771</v>
      </c>
      <c r="AX58" s="178">
        <f t="shared" si="92"/>
        <v>2.6778947368421067</v>
      </c>
      <c r="AY58" s="178">
        <f t="shared" si="93"/>
        <v>0.21860365198711074</v>
      </c>
      <c r="AZ58" s="178">
        <f t="shared" si="54"/>
        <v>12.25</v>
      </c>
      <c r="BA58" s="471">
        <f t="shared" si="94"/>
        <v>2.7315588972431084</v>
      </c>
      <c r="BB58" s="5">
        <f t="shared" si="95"/>
        <v>0.14083225248944059</v>
      </c>
      <c r="BC58" s="5"/>
      <c r="BD58" s="178">
        <f t="shared" si="55"/>
        <v>0.18127564346652536</v>
      </c>
      <c r="BE58" s="178">
        <f t="shared" si="96"/>
        <v>0.35883271389572929</v>
      </c>
      <c r="BF58" s="178"/>
      <c r="BG58" s="545">
        <f t="shared" si="97"/>
        <v>1.1501300619970985E-2</v>
      </c>
      <c r="BH58" s="545">
        <f t="shared" si="98"/>
        <v>5.2500000000000005E-2</v>
      </c>
      <c r="BI58" s="545">
        <f t="shared" si="99"/>
        <v>4.0839310816420237E-3</v>
      </c>
      <c r="BJ58" s="545">
        <f t="shared" si="100"/>
        <v>3.8425707547169806E-2</v>
      </c>
      <c r="BK58">
        <f t="shared" si="101"/>
        <v>6.96E-3</v>
      </c>
      <c r="BL58" s="545">
        <f t="shared" si="102"/>
        <v>0.11392495304740693</v>
      </c>
      <c r="BM58" s="471">
        <f t="shared" si="56"/>
        <v>113.92495304740693</v>
      </c>
      <c r="BN58" s="545">
        <f t="shared" si="103"/>
        <v>6.3600000000000004E-2</v>
      </c>
      <c r="BO58" s="545"/>
      <c r="BQ58" s="471">
        <f t="shared" si="57"/>
        <v>63.6</v>
      </c>
      <c r="BR58" s="545">
        <f t="shared" si="104"/>
        <v>3.1217815968492676E-3</v>
      </c>
      <c r="BS58" s="545">
        <f t="shared" si="105"/>
        <v>1.1588482490559689E-2</v>
      </c>
      <c r="BT58" s="545">
        <f t="shared" si="106"/>
        <v>1.2512980214660081E-2</v>
      </c>
      <c r="BU58" s="545">
        <f t="shared" si="107"/>
        <v>2.7255318937217277E-2</v>
      </c>
      <c r="BV58" s="545">
        <f t="shared" si="108"/>
        <v>1.4345864661654143E-2</v>
      </c>
      <c r="BW58" s="471">
        <f t="shared" si="58"/>
        <v>41.601183598871415</v>
      </c>
      <c r="BX58" s="178">
        <f t="shared" si="59"/>
        <v>0.21912613664627836</v>
      </c>
      <c r="BY58" s="5">
        <f t="shared" si="60"/>
        <v>2.5440000000000005</v>
      </c>
      <c r="BZ58" s="178">
        <f t="shared" si="61"/>
        <v>0.92069629622039584</v>
      </c>
      <c r="CA58" s="5">
        <f t="shared" si="62"/>
        <v>92.069629622039585</v>
      </c>
      <c r="CD58" s="580">
        <f t="shared" si="109"/>
        <v>-50</v>
      </c>
      <c r="CE58">
        <f t="shared" si="110"/>
        <v>-50</v>
      </c>
    </row>
    <row r="59" spans="5:83" x14ac:dyDescent="0.2">
      <c r="E59" s="175">
        <v>54</v>
      </c>
      <c r="F59" s="222">
        <f t="shared" si="111"/>
        <v>0.21600000000000003</v>
      </c>
      <c r="G59" s="222"/>
      <c r="H59" s="222">
        <f t="shared" si="64"/>
        <v>2.5920000000000005</v>
      </c>
      <c r="I59" s="558">
        <f t="shared" si="65"/>
        <v>24</v>
      </c>
      <c r="J59" s="177">
        <f t="shared" si="66"/>
        <v>24.5</v>
      </c>
      <c r="K59" s="453">
        <f t="shared" si="67"/>
        <v>48.5</v>
      </c>
      <c r="L59" s="453"/>
      <c r="M59" s="222">
        <f t="shared" si="68"/>
        <v>0.50515463917525771</v>
      </c>
      <c r="N59" s="177">
        <f t="shared" si="5"/>
        <v>8.3502061855670089</v>
      </c>
      <c r="O59" s="177">
        <f t="shared" si="49"/>
        <v>2.5920000000000005</v>
      </c>
      <c r="P59" s="222">
        <f t="shared" si="69"/>
        <v>0.69585051546391741</v>
      </c>
      <c r="Q59" s="222">
        <f t="shared" si="70"/>
        <v>12</v>
      </c>
      <c r="R59" s="222">
        <f t="shared" si="71"/>
        <v>0.73247422680412366</v>
      </c>
      <c r="S59" s="177">
        <f t="shared" si="72"/>
        <v>64.574056893028924</v>
      </c>
      <c r="T59" s="177">
        <f t="shared" si="73"/>
        <v>12</v>
      </c>
      <c r="U59" s="222">
        <f t="shared" si="74"/>
        <v>0.45009667024704636</v>
      </c>
      <c r="V59" s="222">
        <f t="shared" si="75"/>
        <v>1.5753383458646621</v>
      </c>
      <c r="W59" s="222">
        <f t="shared" si="76"/>
        <v>1.543188583704159</v>
      </c>
      <c r="X59" s="202">
        <f t="shared" si="77"/>
        <v>350</v>
      </c>
      <c r="Y59" s="453">
        <f t="shared" si="50"/>
        <v>320.66421826226252</v>
      </c>
      <c r="AA59" s="222">
        <f t="shared" si="78"/>
        <v>0.41237113402061859</v>
      </c>
      <c r="AB59" s="178">
        <f t="shared" si="79"/>
        <v>1.4138438880706923</v>
      </c>
      <c r="AC59" s="178">
        <f t="shared" si="80"/>
        <v>0.20405994260814117</v>
      </c>
      <c r="AD59" s="178"/>
      <c r="AE59" s="178">
        <f t="shared" si="81"/>
        <v>0.99428571428571422</v>
      </c>
      <c r="AF59" s="562">
        <f t="shared" si="112"/>
        <v>749.10820451843074</v>
      </c>
      <c r="AG59" s="545">
        <f t="shared" si="82"/>
        <v>0.10091999999999998</v>
      </c>
      <c r="AI59" s="178">
        <f t="shared" si="83"/>
        <v>0.43528575006600706</v>
      </c>
      <c r="AJ59" s="178">
        <f t="shared" si="84"/>
        <v>0.45009667024704636</v>
      </c>
      <c r="AK59" s="178">
        <f t="shared" si="85"/>
        <v>1.3185901261089232</v>
      </c>
      <c r="AM59" s="562">
        <f t="shared" si="86"/>
        <v>216.00000000000003</v>
      </c>
      <c r="AN59" s="471">
        <f t="shared" si="87"/>
        <v>320.66421826226252</v>
      </c>
      <c r="AP59">
        <f t="shared" si="88"/>
        <v>216.00000000000003</v>
      </c>
      <c r="AQ59" s="471">
        <f t="shared" si="89"/>
        <v>320.66421826226252</v>
      </c>
      <c r="AR59" s="471"/>
      <c r="AS59" s="5">
        <f t="shared" si="51"/>
        <v>3.1185269295688216</v>
      </c>
      <c r="AT59" s="5">
        <f t="shared" si="90"/>
        <v>1.5753383458646621</v>
      </c>
      <c r="AU59" s="5">
        <f t="shared" si="52"/>
        <v>1.5431885837041595</v>
      </c>
      <c r="AV59" s="5">
        <f t="shared" si="91"/>
        <v>1.543188583704159</v>
      </c>
      <c r="AW59" s="178">
        <f t="shared" si="53"/>
        <v>0.5051546391752576</v>
      </c>
      <c r="AX59" s="178">
        <f t="shared" si="92"/>
        <v>2.7284210526315791</v>
      </c>
      <c r="AY59" s="178">
        <f t="shared" si="93"/>
        <v>0.22272824919441475</v>
      </c>
      <c r="AZ59" s="178">
        <f t="shared" si="54"/>
        <v>12.249999999999993</v>
      </c>
      <c r="BA59" s="471">
        <f t="shared" si="94"/>
        <v>2.8356090225563917</v>
      </c>
      <c r="BB59" s="5">
        <f t="shared" si="95"/>
        <v>0.14619681319302563</v>
      </c>
      <c r="BC59" s="5"/>
      <c r="BD59" s="178">
        <f t="shared" si="55"/>
        <v>0.18469593862627112</v>
      </c>
      <c r="BE59" s="178">
        <f t="shared" si="96"/>
        <v>0.36560314245979975</v>
      </c>
      <c r="BF59" s="178"/>
      <c r="BG59" s="545">
        <f t="shared" si="97"/>
        <v>1.1939406410763756E-2</v>
      </c>
      <c r="BH59" s="545">
        <f t="shared" si="98"/>
        <v>5.2499999999999998E-2</v>
      </c>
      <c r="BI59" s="545">
        <f t="shared" si="99"/>
        <v>4.0083027282782815E-3</v>
      </c>
      <c r="BJ59" s="545">
        <f t="shared" si="100"/>
        <v>3.7714120370370356E-2</v>
      </c>
      <c r="BK59">
        <f t="shared" si="101"/>
        <v>6.96E-3</v>
      </c>
      <c r="BL59" s="545">
        <f t="shared" si="102"/>
        <v>0.11359175910770843</v>
      </c>
      <c r="BM59" s="471">
        <f t="shared" si="56"/>
        <v>113.59175910770843</v>
      </c>
      <c r="BN59" s="545">
        <f t="shared" si="103"/>
        <v>6.480000000000001E-2</v>
      </c>
      <c r="BO59" s="545"/>
      <c r="BQ59" s="471">
        <f t="shared" si="57"/>
        <v>64.800000000000011</v>
      </c>
      <c r="BR59" s="545">
        <f t="shared" si="104"/>
        <v>3.2406960257787341E-3</v>
      </c>
      <c r="BS59" s="545">
        <f t="shared" si="105"/>
        <v>1.2029909199883256E-2</v>
      </c>
      <c r="BT59" s="545">
        <f t="shared" si="106"/>
        <v>1.2512980214660071E-2</v>
      </c>
      <c r="BU59" s="545">
        <f t="shared" si="107"/>
        <v>2.7817568729154113E-2</v>
      </c>
      <c r="BV59" s="545">
        <f t="shared" si="108"/>
        <v>1.4616541353383462E-2</v>
      </c>
      <c r="BW59" s="471">
        <f t="shared" si="58"/>
        <v>42.434110082537572</v>
      </c>
      <c r="BX59" s="178">
        <f t="shared" si="59"/>
        <v>0.22082586919024602</v>
      </c>
      <c r="BY59" s="5">
        <f t="shared" si="60"/>
        <v>2.5920000000000005</v>
      </c>
      <c r="BZ59" s="178">
        <f t="shared" si="61"/>
        <v>0.92149323155442353</v>
      </c>
      <c r="CA59" s="5">
        <f t="shared" si="62"/>
        <v>92.149323155442346</v>
      </c>
      <c r="CD59" s="580">
        <f t="shared" si="109"/>
        <v>-50</v>
      </c>
      <c r="CE59">
        <f t="shared" si="110"/>
        <v>-50</v>
      </c>
    </row>
    <row r="60" spans="5:83" x14ac:dyDescent="0.2">
      <c r="E60" s="175">
        <v>55</v>
      </c>
      <c r="F60" s="222">
        <f t="shared" si="111"/>
        <v>0.22000000000000003</v>
      </c>
      <c r="G60" s="222"/>
      <c r="H60" s="222">
        <f t="shared" si="64"/>
        <v>2.6400000000000006</v>
      </c>
      <c r="I60" s="558">
        <f t="shared" si="65"/>
        <v>24</v>
      </c>
      <c r="J60" s="177">
        <f t="shared" si="66"/>
        <v>24.5</v>
      </c>
      <c r="K60" s="453">
        <f t="shared" si="67"/>
        <v>48.5</v>
      </c>
      <c r="L60" s="453"/>
      <c r="M60" s="222">
        <f t="shared" si="68"/>
        <v>0.50515463917525771</v>
      </c>
      <c r="N60" s="177">
        <f t="shared" si="5"/>
        <v>8.3502061855670089</v>
      </c>
      <c r="O60" s="177">
        <f t="shared" si="49"/>
        <v>2.6400000000000006</v>
      </c>
      <c r="P60" s="222">
        <f t="shared" si="69"/>
        <v>0.69585051546391741</v>
      </c>
      <c r="Q60" s="222">
        <f t="shared" si="70"/>
        <v>12</v>
      </c>
      <c r="R60" s="222">
        <f t="shared" si="71"/>
        <v>0.73247422680412366</v>
      </c>
      <c r="S60" s="177">
        <f t="shared" si="72"/>
        <v>63.183657141660028</v>
      </c>
      <c r="T60" s="177">
        <f t="shared" si="73"/>
        <v>12</v>
      </c>
      <c r="U60" s="222">
        <f t="shared" si="74"/>
        <v>0.45843179377013982</v>
      </c>
      <c r="V60" s="222">
        <f t="shared" si="75"/>
        <v>1.6045112781954893</v>
      </c>
      <c r="W60" s="222">
        <f t="shared" si="76"/>
        <v>1.5717661500690507</v>
      </c>
      <c r="X60" s="202">
        <f t="shared" si="77"/>
        <v>350</v>
      </c>
      <c r="Y60" s="453">
        <f t="shared" si="50"/>
        <v>314.83395974840323</v>
      </c>
      <c r="AA60" s="222">
        <f t="shared" si="78"/>
        <v>0.41237113402061859</v>
      </c>
      <c r="AB60" s="178">
        <f t="shared" si="79"/>
        <v>1.4138438880706923</v>
      </c>
      <c r="AC60" s="178">
        <f t="shared" si="80"/>
        <v>0.20405994260814117</v>
      </c>
      <c r="AD60" s="178"/>
      <c r="AE60" s="178">
        <f t="shared" si="81"/>
        <v>0.99428571428571422</v>
      </c>
      <c r="AF60" s="562">
        <f t="shared" si="112"/>
        <v>762.98057867617945</v>
      </c>
      <c r="AG60" s="545">
        <f t="shared" si="82"/>
        <v>0.10091999999999998</v>
      </c>
      <c r="AI60" s="178">
        <f t="shared" si="83"/>
        <v>0.43929768510697953</v>
      </c>
      <c r="AJ60" s="178">
        <f t="shared" si="84"/>
        <v>0.45843179377013982</v>
      </c>
      <c r="AK60" s="178">
        <f t="shared" si="85"/>
        <v>1.3247642916815849</v>
      </c>
      <c r="AM60" s="562">
        <f t="shared" si="86"/>
        <v>220.00000000000003</v>
      </c>
      <c r="AN60" s="471">
        <f t="shared" si="87"/>
        <v>314.83395974840323</v>
      </c>
      <c r="AP60">
        <f t="shared" si="88"/>
        <v>220.00000000000003</v>
      </c>
      <c r="AQ60">
        <f t="shared" si="89"/>
        <v>314.83395974840323</v>
      </c>
      <c r="AS60" s="5">
        <f t="shared" si="51"/>
        <v>3.1762774282645401</v>
      </c>
      <c r="AT60" s="5">
        <f t="shared" si="90"/>
        <v>1.6045112781954893</v>
      </c>
      <c r="AU60" s="5">
        <f t="shared" si="52"/>
        <v>1.5717661500690507</v>
      </c>
      <c r="AV60" s="5">
        <f t="shared" si="91"/>
        <v>1.5717661500690507</v>
      </c>
      <c r="AW60" s="178">
        <f t="shared" si="53"/>
        <v>0.50515463917525771</v>
      </c>
      <c r="AX60" s="178">
        <f t="shared" si="92"/>
        <v>2.7789473684210537</v>
      </c>
      <c r="AY60" s="178">
        <f t="shared" si="93"/>
        <v>0.22685284640171868</v>
      </c>
      <c r="AZ60" s="178">
        <f t="shared" si="54"/>
        <v>12.25</v>
      </c>
      <c r="BA60" s="471">
        <f t="shared" si="94"/>
        <v>2.9416040100250642</v>
      </c>
      <c r="BB60" s="5">
        <f t="shared" si="95"/>
        <v>0.15166164605929439</v>
      </c>
      <c r="BC60" s="5"/>
      <c r="BD60" s="178">
        <f t="shared" si="55"/>
        <v>0.18811623378601691</v>
      </c>
      <c r="BE60" s="178">
        <f t="shared" si="96"/>
        <v>0.37237357102387003</v>
      </c>
      <c r="BF60" s="178"/>
      <c r="BG60" s="545">
        <f t="shared" si="97"/>
        <v>1.2385701094842378E-2</v>
      </c>
      <c r="BH60" s="545">
        <f t="shared" si="98"/>
        <v>5.2499999999999991E-2</v>
      </c>
      <c r="BI60" s="545">
        <f t="shared" si="99"/>
        <v>3.9354244968550405E-3</v>
      </c>
      <c r="BJ60" s="545">
        <f t="shared" si="100"/>
        <v>3.7028409090909077E-2</v>
      </c>
      <c r="BK60">
        <f t="shared" si="101"/>
        <v>6.96E-3</v>
      </c>
      <c r="BL60" s="545">
        <f t="shared" si="102"/>
        <v>0.11329575991280247</v>
      </c>
      <c r="BM60" s="471">
        <f t="shared" si="56"/>
        <v>113.29575991280247</v>
      </c>
      <c r="BN60" s="545">
        <f t="shared" si="103"/>
        <v>6.6000000000000003E-2</v>
      </c>
      <c r="BO60" s="545"/>
      <c r="BQ60" s="471">
        <f t="shared" si="57"/>
        <v>66</v>
      </c>
      <c r="BR60" s="545">
        <f t="shared" si="104"/>
        <v>3.3618331543143602E-3</v>
      </c>
      <c r="BS60" s="545">
        <f t="shared" si="105"/>
        <v>1.2479586875736226E-2</v>
      </c>
      <c r="BT60" s="545">
        <f t="shared" si="106"/>
        <v>1.2512980214660073E-2</v>
      </c>
      <c r="BU60" s="545">
        <f t="shared" si="107"/>
        <v>2.8390379759156852E-2</v>
      </c>
      <c r="BV60" s="545">
        <f t="shared" si="108"/>
        <v>1.4887218045112789E-2</v>
      </c>
      <c r="BW60" s="471">
        <f t="shared" si="58"/>
        <v>43.277597804269639</v>
      </c>
      <c r="BX60" s="178">
        <f t="shared" si="59"/>
        <v>0.2225733577170721</v>
      </c>
      <c r="BY60" s="5">
        <f t="shared" si="60"/>
        <v>2.6400000000000006</v>
      </c>
      <c r="BZ60" s="178">
        <f t="shared" si="61"/>
        <v>0.92224710779304664</v>
      </c>
      <c r="CA60" s="5">
        <f t="shared" si="62"/>
        <v>92.224710779304658</v>
      </c>
      <c r="CD60" s="580">
        <f t="shared" si="109"/>
        <v>-50</v>
      </c>
      <c r="CE60">
        <f t="shared" si="110"/>
        <v>-50</v>
      </c>
    </row>
    <row r="61" spans="5:83" x14ac:dyDescent="0.2">
      <c r="E61" s="175">
        <v>56</v>
      </c>
      <c r="F61" s="222">
        <f t="shared" si="111"/>
        <v>0.22400000000000003</v>
      </c>
      <c r="G61" s="222"/>
      <c r="H61" s="222">
        <f t="shared" si="64"/>
        <v>2.6880000000000006</v>
      </c>
      <c r="I61" s="558">
        <f t="shared" si="65"/>
        <v>24</v>
      </c>
      <c r="J61" s="177">
        <f t="shared" si="66"/>
        <v>24.5</v>
      </c>
      <c r="K61" s="453">
        <f t="shared" si="67"/>
        <v>48.5</v>
      </c>
      <c r="L61" s="453"/>
      <c r="M61" s="222">
        <f t="shared" si="68"/>
        <v>0.50515463917525771</v>
      </c>
      <c r="N61" s="177">
        <f t="shared" si="5"/>
        <v>8.3502061855670089</v>
      </c>
      <c r="O61" s="177">
        <f t="shared" si="49"/>
        <v>2.6880000000000006</v>
      </c>
      <c r="P61" s="222">
        <f t="shared" si="69"/>
        <v>0.69585051546391741</v>
      </c>
      <c r="Q61" s="222">
        <f t="shared" si="70"/>
        <v>12</v>
      </c>
      <c r="R61" s="222">
        <f t="shared" si="71"/>
        <v>0.73247422680412366</v>
      </c>
      <c r="S61" s="177">
        <f t="shared" si="72"/>
        <v>61.842957515037391</v>
      </c>
      <c r="T61" s="177">
        <f t="shared" si="73"/>
        <v>12</v>
      </c>
      <c r="U61" s="222">
        <f t="shared" si="74"/>
        <v>0.46676691729323327</v>
      </c>
      <c r="V61" s="222">
        <f t="shared" si="75"/>
        <v>1.6336842105263163</v>
      </c>
      <c r="W61" s="222">
        <f t="shared" si="76"/>
        <v>1.6003437164339425</v>
      </c>
      <c r="X61" s="202">
        <f t="shared" si="77"/>
        <v>350</v>
      </c>
      <c r="Y61" s="453">
        <f t="shared" si="50"/>
        <v>309.21192475289604</v>
      </c>
      <c r="AA61" s="222">
        <f t="shared" si="78"/>
        <v>0.41237113402061859</v>
      </c>
      <c r="AB61" s="178">
        <f t="shared" si="79"/>
        <v>1.4138438880706923</v>
      </c>
      <c r="AC61" s="178">
        <f t="shared" si="80"/>
        <v>0.20405994260814117</v>
      </c>
      <c r="AD61" s="178"/>
      <c r="AE61" s="178">
        <f t="shared" si="81"/>
        <v>0.99428571428571422</v>
      </c>
      <c r="AF61" s="562">
        <f t="shared" si="112"/>
        <v>776.85295283392816</v>
      </c>
      <c r="AG61" s="545">
        <f t="shared" si="82"/>
        <v>0.10091999999999998</v>
      </c>
      <c r="AI61" s="178">
        <f t="shared" si="83"/>
        <v>0.44327331080291255</v>
      </c>
      <c r="AJ61" s="178">
        <f t="shared" si="84"/>
        <v>0.46676691729323327</v>
      </c>
      <c r="AK61" s="178">
        <f t="shared" si="85"/>
        <v>1.3309384572542469</v>
      </c>
      <c r="AM61" s="562">
        <f t="shared" si="86"/>
        <v>224.00000000000003</v>
      </c>
      <c r="AN61" s="471">
        <f t="shared" si="87"/>
        <v>309.21192475289604</v>
      </c>
      <c r="AP61">
        <f t="shared" si="88"/>
        <v>224.00000000000003</v>
      </c>
      <c r="AQ61">
        <f t="shared" si="89"/>
        <v>309.21192475289604</v>
      </c>
      <c r="AS61" s="5">
        <f t="shared" si="51"/>
        <v>3.234027926960259</v>
      </c>
      <c r="AT61" s="5">
        <f t="shared" si="90"/>
        <v>1.6336842105263163</v>
      </c>
      <c r="AU61" s="5">
        <f t="shared" si="52"/>
        <v>1.6003437164339427</v>
      </c>
      <c r="AV61" s="5">
        <f t="shared" si="91"/>
        <v>1.6003437164339425</v>
      </c>
      <c r="AW61" s="178">
        <f t="shared" si="53"/>
        <v>0.50515463917525771</v>
      </c>
      <c r="AX61" s="178">
        <f t="shared" si="92"/>
        <v>2.829473684210527</v>
      </c>
      <c r="AY61" s="178">
        <f t="shared" si="93"/>
        <v>0.23097744360902267</v>
      </c>
      <c r="AZ61" s="178">
        <f t="shared" si="54"/>
        <v>12.249999999999996</v>
      </c>
      <c r="BA61" s="471">
        <f t="shared" si="94"/>
        <v>3.0495438596491242</v>
      </c>
      <c r="BB61" s="5">
        <f t="shared" si="95"/>
        <v>0.15722675108824699</v>
      </c>
      <c r="BC61" s="5"/>
      <c r="BD61" s="178">
        <f t="shared" si="55"/>
        <v>0.19153652894576267</v>
      </c>
      <c r="BE61" s="178">
        <f t="shared" si="96"/>
        <v>0.37914399958794043</v>
      </c>
      <c r="BF61" s="178"/>
      <c r="BG61" s="545">
        <f t="shared" si="97"/>
        <v>1.2840184672206842E-2</v>
      </c>
      <c r="BH61" s="545">
        <f t="shared" si="98"/>
        <v>5.2499999999999998E-2</v>
      </c>
      <c r="BI61" s="545">
        <f t="shared" si="99"/>
        <v>3.8651490594112004E-3</v>
      </c>
      <c r="BJ61" s="545">
        <f t="shared" si="100"/>
        <v>3.6367187499999988E-2</v>
      </c>
      <c r="BK61">
        <f t="shared" si="101"/>
        <v>6.96E-3</v>
      </c>
      <c r="BL61" s="545">
        <f t="shared" si="102"/>
        <v>0.11303542987426948</v>
      </c>
      <c r="BM61" s="471">
        <f t="shared" si="56"/>
        <v>113.03542987426948</v>
      </c>
      <c r="BN61" s="545">
        <f t="shared" si="103"/>
        <v>6.720000000000001E-2</v>
      </c>
      <c r="BO61" s="545"/>
      <c r="BQ61" s="471">
        <f t="shared" si="57"/>
        <v>67.2</v>
      </c>
      <c r="BR61" s="545">
        <f t="shared" si="104"/>
        <v>3.4851929824561432E-3</v>
      </c>
      <c r="BS61" s="545">
        <f t="shared" si="105"/>
        <v>1.2937515518118616E-2</v>
      </c>
      <c r="BT61" s="545">
        <f t="shared" si="106"/>
        <v>1.2512980214660071E-2</v>
      </c>
      <c r="BU61" s="545">
        <f t="shared" si="107"/>
        <v>2.8973754917729307E-2</v>
      </c>
      <c r="BV61" s="545">
        <f t="shared" si="108"/>
        <v>1.5157894736842112E-2</v>
      </c>
      <c r="BW61" s="471">
        <f t="shared" si="58"/>
        <v>44.131649654571419</v>
      </c>
      <c r="BX61" s="178">
        <f t="shared" si="59"/>
        <v>0.22436707952884091</v>
      </c>
      <c r="BY61" s="5">
        <f t="shared" si="60"/>
        <v>2.6880000000000006</v>
      </c>
      <c r="BZ61" s="178">
        <f t="shared" si="61"/>
        <v>0.92296057694583655</v>
      </c>
      <c r="CA61" s="5">
        <f t="shared" si="62"/>
        <v>92.296057694583652</v>
      </c>
      <c r="CD61" s="580">
        <f t="shared" si="109"/>
        <v>-50</v>
      </c>
      <c r="CE61">
        <f t="shared" si="110"/>
        <v>-50</v>
      </c>
    </row>
    <row r="62" spans="5:83" x14ac:dyDescent="0.2">
      <c r="E62" s="175">
        <v>57</v>
      </c>
      <c r="F62" s="222">
        <f t="shared" si="111"/>
        <v>0.22799999999999998</v>
      </c>
      <c r="G62" s="222"/>
      <c r="H62" s="222">
        <f t="shared" si="64"/>
        <v>2.7359999999999998</v>
      </c>
      <c r="I62" s="558">
        <f t="shared" si="65"/>
        <v>24</v>
      </c>
      <c r="J62" s="177">
        <f t="shared" si="66"/>
        <v>24.5</v>
      </c>
      <c r="K62" s="453">
        <f t="shared" si="67"/>
        <v>48.5</v>
      </c>
      <c r="L62" s="453"/>
      <c r="M62" s="222">
        <f t="shared" si="68"/>
        <v>0.50515463917525771</v>
      </c>
      <c r="N62" s="177">
        <f t="shared" si="5"/>
        <v>8.3502061855670089</v>
      </c>
      <c r="O62" s="177">
        <f t="shared" si="49"/>
        <v>2.7359999999999998</v>
      </c>
      <c r="P62" s="222">
        <f t="shared" si="69"/>
        <v>0.69585051546391741</v>
      </c>
      <c r="Q62" s="222">
        <f t="shared" si="70"/>
        <v>12</v>
      </c>
      <c r="R62" s="222">
        <f t="shared" si="71"/>
        <v>0.73247422680412366</v>
      </c>
      <c r="S62" s="177">
        <f t="shared" si="72"/>
        <v>60.549342638748982</v>
      </c>
      <c r="T62" s="177">
        <f t="shared" si="73"/>
        <v>12</v>
      </c>
      <c r="U62" s="222">
        <f t="shared" si="74"/>
        <v>0.47510204081632657</v>
      </c>
      <c r="V62" s="222">
        <f t="shared" si="75"/>
        <v>1.6628571428571428</v>
      </c>
      <c r="W62" s="222">
        <f t="shared" si="76"/>
        <v>1.628921282798834</v>
      </c>
      <c r="X62" s="202">
        <f t="shared" si="77"/>
        <v>350</v>
      </c>
      <c r="Y62" s="453">
        <f t="shared" si="50"/>
        <v>303.78715414319618</v>
      </c>
      <c r="AA62" s="222">
        <f t="shared" si="78"/>
        <v>0.41237113402061859</v>
      </c>
      <c r="AB62" s="178">
        <f t="shared" si="79"/>
        <v>1.4138438880706923</v>
      </c>
      <c r="AC62" s="178">
        <f t="shared" si="80"/>
        <v>0.20405994260814117</v>
      </c>
      <c r="AD62" s="178"/>
      <c r="AE62" s="178">
        <f t="shared" si="81"/>
        <v>0.99428571428571422</v>
      </c>
      <c r="AF62" s="562">
        <f t="shared" si="112"/>
        <v>790.72532699167675</v>
      </c>
      <c r="AG62" s="545">
        <f t="shared" si="82"/>
        <v>0.10091999999999998</v>
      </c>
      <c r="AI62" s="178">
        <f t="shared" si="83"/>
        <v>0.44721359549995793</v>
      </c>
      <c r="AJ62" s="178">
        <f t="shared" si="84"/>
        <v>0.47510204081632657</v>
      </c>
      <c r="AK62" s="178">
        <f t="shared" si="85"/>
        <v>1.3371126228269086</v>
      </c>
      <c r="AM62" s="562">
        <f t="shared" si="86"/>
        <v>227.99999999999997</v>
      </c>
      <c r="AN62" s="471">
        <f t="shared" si="87"/>
        <v>303.78715414319618</v>
      </c>
      <c r="AP62">
        <f t="shared" si="88"/>
        <v>227.99999999999997</v>
      </c>
      <c r="AQ62">
        <f t="shared" si="89"/>
        <v>303.78715414319618</v>
      </c>
      <c r="AS62" s="5">
        <f t="shared" si="51"/>
        <v>3.2917784256559774</v>
      </c>
      <c r="AT62" s="5">
        <f t="shared" si="90"/>
        <v>1.6628571428571428</v>
      </c>
      <c r="AU62" s="5">
        <f t="shared" si="52"/>
        <v>1.6289212827988346</v>
      </c>
      <c r="AV62" s="5">
        <f t="shared" si="91"/>
        <v>1.628921282798834</v>
      </c>
      <c r="AW62" s="178">
        <f t="shared" si="53"/>
        <v>0.5051546391752576</v>
      </c>
      <c r="AX62" s="178">
        <f t="shared" si="92"/>
        <v>2.88</v>
      </c>
      <c r="AY62" s="178">
        <f t="shared" si="93"/>
        <v>0.2351020408163266</v>
      </c>
      <c r="AZ62" s="178">
        <f t="shared" si="54"/>
        <v>12.249999999999996</v>
      </c>
      <c r="BA62" s="471">
        <f t="shared" si="94"/>
        <v>3.1594285714285708</v>
      </c>
      <c r="BB62" s="5">
        <f t="shared" si="95"/>
        <v>0.16289212827988345</v>
      </c>
      <c r="BC62" s="5"/>
      <c r="BD62" s="178">
        <f t="shared" si="55"/>
        <v>0.19495682410550833</v>
      </c>
      <c r="BE62" s="178">
        <f t="shared" si="96"/>
        <v>0.38591442815201071</v>
      </c>
      <c r="BF62" s="178"/>
      <c r="BG62" s="545">
        <f t="shared" si="97"/>
        <v>1.3302857142857139E-2</v>
      </c>
      <c r="BH62" s="545">
        <f t="shared" si="98"/>
        <v>5.2499999999999991E-2</v>
      </c>
      <c r="BI62" s="545">
        <f t="shared" si="99"/>
        <v>3.7973394267899517E-3</v>
      </c>
      <c r="BJ62" s="545">
        <f t="shared" si="100"/>
        <v>3.5729166666666666E-2</v>
      </c>
      <c r="BK62">
        <f t="shared" si="101"/>
        <v>6.96E-3</v>
      </c>
      <c r="BL62" s="545">
        <f t="shared" si="102"/>
        <v>0.11280935117197992</v>
      </c>
      <c r="BM62" s="471">
        <f t="shared" si="56"/>
        <v>112.80935117197991</v>
      </c>
      <c r="BN62" s="545">
        <f t="shared" si="103"/>
        <v>6.8399999999999989E-2</v>
      </c>
      <c r="BO62" s="545"/>
      <c r="BQ62" s="471">
        <f t="shared" si="57"/>
        <v>68.399999999999991</v>
      </c>
      <c r="BR62" s="545">
        <f t="shared" si="104"/>
        <v>3.6107755102040809E-3</v>
      </c>
      <c r="BS62" s="545">
        <f t="shared" si="105"/>
        <v>1.3403695127030409E-2</v>
      </c>
      <c r="BT62" s="545">
        <f t="shared" si="106"/>
        <v>1.2512980214660078E-2</v>
      </c>
      <c r="BU62" s="545">
        <f t="shared" si="107"/>
        <v>2.9567697149090879E-2</v>
      </c>
      <c r="BV62" s="545">
        <f t="shared" si="108"/>
        <v>1.5428571428571432E-2</v>
      </c>
      <c r="BW62" s="471">
        <f t="shared" si="58"/>
        <v>44.996268577662313</v>
      </c>
      <c r="BX62" s="178">
        <f t="shared" si="59"/>
        <v>0.22620561974964221</v>
      </c>
      <c r="BY62" s="5">
        <f t="shared" si="60"/>
        <v>2.7359999999999998</v>
      </c>
      <c r="BZ62" s="178">
        <f t="shared" si="61"/>
        <v>0.92363608446304946</v>
      </c>
      <c r="CA62" s="5">
        <f t="shared" si="62"/>
        <v>92.363608446304951</v>
      </c>
      <c r="CD62" s="580">
        <f t="shared" si="109"/>
        <v>-50</v>
      </c>
      <c r="CE62">
        <f t="shared" si="110"/>
        <v>-50</v>
      </c>
    </row>
    <row r="63" spans="5:83" x14ac:dyDescent="0.2">
      <c r="E63" s="175">
        <v>58</v>
      </c>
      <c r="F63" s="222">
        <f t="shared" si="111"/>
        <v>0.23199999999999998</v>
      </c>
      <c r="G63" s="222"/>
      <c r="H63" s="222">
        <f t="shared" si="64"/>
        <v>2.7839999999999998</v>
      </c>
      <c r="I63" s="558">
        <f t="shared" si="65"/>
        <v>24</v>
      </c>
      <c r="J63" s="177">
        <f t="shared" si="66"/>
        <v>24.5</v>
      </c>
      <c r="K63" s="453">
        <f t="shared" si="67"/>
        <v>48.5</v>
      </c>
      <c r="L63" s="453"/>
      <c r="M63" s="222">
        <f t="shared" si="68"/>
        <v>0.50515463917525771</v>
      </c>
      <c r="N63" s="177">
        <f t="shared" si="5"/>
        <v>8.3502061855670089</v>
      </c>
      <c r="O63" s="177">
        <f t="shared" si="49"/>
        <v>2.7839999999999998</v>
      </c>
      <c r="P63" s="222">
        <f t="shared" si="69"/>
        <v>0.69585051546391741</v>
      </c>
      <c r="Q63" s="222">
        <f t="shared" si="70"/>
        <v>12</v>
      </c>
      <c r="R63" s="222">
        <f t="shared" si="71"/>
        <v>0.73247422680412366</v>
      </c>
      <c r="S63" s="177">
        <f t="shared" si="72"/>
        <v>59.300377514387293</v>
      </c>
      <c r="T63" s="177">
        <f t="shared" si="73"/>
        <v>12</v>
      </c>
      <c r="U63" s="222">
        <f t="shared" si="74"/>
        <v>0.48343716433942002</v>
      </c>
      <c r="V63" s="222">
        <f t="shared" si="75"/>
        <v>1.69203007518797</v>
      </c>
      <c r="W63" s="222">
        <f t="shared" si="76"/>
        <v>1.6574988491637255</v>
      </c>
      <c r="X63" s="202">
        <f t="shared" si="77"/>
        <v>350</v>
      </c>
      <c r="Y63" s="453">
        <f t="shared" si="50"/>
        <v>298.5494445890032</v>
      </c>
      <c r="AA63" s="222">
        <f t="shared" si="78"/>
        <v>0.41237113402061859</v>
      </c>
      <c r="AB63" s="178">
        <f t="shared" si="79"/>
        <v>1.4138438880706923</v>
      </c>
      <c r="AC63" s="178">
        <f t="shared" si="80"/>
        <v>0.20405994260814117</v>
      </c>
      <c r="AD63" s="178"/>
      <c r="AE63" s="178">
        <f t="shared" si="81"/>
        <v>0.99428571428571422</v>
      </c>
      <c r="AF63" s="562">
        <f t="shared" si="112"/>
        <v>804.59770114942546</v>
      </c>
      <c r="AG63" s="545">
        <f t="shared" si="82"/>
        <v>0.10091999999999998</v>
      </c>
      <c r="AI63" s="178">
        <f t="shared" si="83"/>
        <v>0.45111946525263635</v>
      </c>
      <c r="AJ63" s="178">
        <f t="shared" si="84"/>
        <v>0.48343716433942002</v>
      </c>
      <c r="AK63" s="178">
        <f t="shared" si="85"/>
        <v>1.3432867883995703</v>
      </c>
      <c r="AM63" s="562">
        <f t="shared" si="86"/>
        <v>231.99999999999997</v>
      </c>
      <c r="AN63" s="471">
        <f t="shared" si="87"/>
        <v>298.5494445890032</v>
      </c>
      <c r="AP63">
        <f t="shared" si="88"/>
        <v>231.99999999999997</v>
      </c>
      <c r="AQ63">
        <f t="shared" si="89"/>
        <v>298.5494445890032</v>
      </c>
      <c r="AS63" s="5">
        <f t="shared" si="51"/>
        <v>3.3495289243516955</v>
      </c>
      <c r="AT63" s="5">
        <f t="shared" si="90"/>
        <v>1.69203007518797</v>
      </c>
      <c r="AU63" s="5">
        <f t="shared" si="52"/>
        <v>1.6574988491637255</v>
      </c>
      <c r="AV63" s="5">
        <f t="shared" si="91"/>
        <v>1.6574988491637255</v>
      </c>
      <c r="AW63" s="178">
        <f t="shared" si="53"/>
        <v>0.50515463917525771</v>
      </c>
      <c r="AX63" s="178">
        <f t="shared" si="92"/>
        <v>2.9305263157894745</v>
      </c>
      <c r="AY63" s="178">
        <f t="shared" si="93"/>
        <v>0.23922663802363053</v>
      </c>
      <c r="AZ63" s="178">
        <f t="shared" si="54"/>
        <v>12.250000000000002</v>
      </c>
      <c r="BA63" s="471">
        <f t="shared" si="94"/>
        <v>3.2712581453634084</v>
      </c>
      <c r="BB63" s="5">
        <f t="shared" si="95"/>
        <v>0.16865777763420362</v>
      </c>
      <c r="BC63" s="5"/>
      <c r="BD63" s="178">
        <f t="shared" si="55"/>
        <v>0.19837711926525411</v>
      </c>
      <c r="BE63" s="178">
        <f t="shared" si="96"/>
        <v>0.392684856716081</v>
      </c>
      <c r="BF63" s="178"/>
      <c r="BG63" s="545">
        <f t="shared" si="97"/>
        <v>1.3773718506793299E-2</v>
      </c>
      <c r="BH63" s="545">
        <f t="shared" si="98"/>
        <v>5.2500000000000005E-2</v>
      </c>
      <c r="BI63" s="545">
        <f t="shared" si="99"/>
        <v>3.7318680573625398E-3</v>
      </c>
      <c r="BJ63" s="545">
        <f t="shared" si="100"/>
        <v>3.5113146551724136E-2</v>
      </c>
      <c r="BK63">
        <f t="shared" si="101"/>
        <v>6.96E-3</v>
      </c>
      <c r="BL63" s="545">
        <f t="shared" si="102"/>
        <v>0.11261620447715087</v>
      </c>
      <c r="BM63" s="471">
        <f t="shared" si="56"/>
        <v>112.61620447715087</v>
      </c>
      <c r="BN63" s="545">
        <f t="shared" si="103"/>
        <v>6.9599999999999995E-2</v>
      </c>
      <c r="BO63" s="545"/>
      <c r="BQ63" s="471">
        <f t="shared" si="57"/>
        <v>69.599999999999994</v>
      </c>
      <c r="BR63" s="545">
        <f t="shared" si="104"/>
        <v>3.7385807375581812E-3</v>
      </c>
      <c r="BS63" s="545">
        <f t="shared" si="105"/>
        <v>1.3878125702471617E-2</v>
      </c>
      <c r="BT63" s="545">
        <f t="shared" si="106"/>
        <v>1.2512980214660067E-2</v>
      </c>
      <c r="BU63" s="545">
        <f t="shared" si="107"/>
        <v>3.0172209451213797E-2</v>
      </c>
      <c r="BV63" s="545">
        <f t="shared" si="108"/>
        <v>1.5699248120300758E-2</v>
      </c>
      <c r="BW63" s="471">
        <f t="shared" si="58"/>
        <v>45.871457571514554</v>
      </c>
      <c r="BX63" s="178">
        <f t="shared" si="59"/>
        <v>0.22808766204866543</v>
      </c>
      <c r="BY63" s="5">
        <f t="shared" si="60"/>
        <v>2.7839999999999998</v>
      </c>
      <c r="BZ63" s="178">
        <f t="shared" si="61"/>
        <v>0.92427588847346753</v>
      </c>
      <c r="CA63" s="5">
        <f t="shared" si="62"/>
        <v>92.427588847346755</v>
      </c>
      <c r="CD63" s="580">
        <f t="shared" si="109"/>
        <v>-50</v>
      </c>
      <c r="CE63">
        <f t="shared" si="110"/>
        <v>-50</v>
      </c>
    </row>
    <row r="64" spans="5:83" x14ac:dyDescent="0.2">
      <c r="E64" s="175">
        <v>59</v>
      </c>
      <c r="F64" s="222">
        <f t="shared" si="111"/>
        <v>0.23599999999999999</v>
      </c>
      <c r="G64" s="222"/>
      <c r="H64" s="222">
        <f t="shared" si="64"/>
        <v>2.8319999999999999</v>
      </c>
      <c r="I64" s="558">
        <f t="shared" si="65"/>
        <v>24</v>
      </c>
      <c r="J64" s="177">
        <f t="shared" si="66"/>
        <v>24.5</v>
      </c>
      <c r="K64" s="453">
        <f t="shared" si="67"/>
        <v>48.5</v>
      </c>
      <c r="L64" s="453"/>
      <c r="M64" s="222">
        <f t="shared" si="68"/>
        <v>0.50515463917525771</v>
      </c>
      <c r="N64" s="177">
        <f t="shared" si="5"/>
        <v>8.3502061855670089</v>
      </c>
      <c r="O64" s="177">
        <f t="shared" si="49"/>
        <v>2.8319999999999999</v>
      </c>
      <c r="P64" s="222">
        <f t="shared" si="69"/>
        <v>0.69585051546391741</v>
      </c>
      <c r="Q64" s="222">
        <f t="shared" si="70"/>
        <v>12</v>
      </c>
      <c r="R64" s="222">
        <f t="shared" si="71"/>
        <v>0.73247422680412366</v>
      </c>
      <c r="S64" s="177">
        <f t="shared" si="72"/>
        <v>58.093792233529534</v>
      </c>
      <c r="T64" s="177">
        <f t="shared" si="73"/>
        <v>12</v>
      </c>
      <c r="U64" s="222">
        <f t="shared" si="74"/>
        <v>0.49177228786251348</v>
      </c>
      <c r="V64" s="222">
        <f t="shared" si="75"/>
        <v>1.721203007518797</v>
      </c>
      <c r="W64" s="222">
        <f t="shared" si="76"/>
        <v>1.6860764155286174</v>
      </c>
      <c r="X64" s="202">
        <f t="shared" si="77"/>
        <v>350</v>
      </c>
      <c r="Y64" s="453">
        <f t="shared" si="50"/>
        <v>293.48928451122345</v>
      </c>
      <c r="AA64" s="222">
        <f t="shared" si="78"/>
        <v>0.41237113402061859</v>
      </c>
      <c r="AB64" s="178">
        <f t="shared" si="79"/>
        <v>1.4138438880706923</v>
      </c>
      <c r="AC64" s="178">
        <f t="shared" si="80"/>
        <v>0.20405994260814117</v>
      </c>
      <c r="AD64" s="178"/>
      <c r="AE64" s="178">
        <f t="shared" si="81"/>
        <v>0.99428571428571422</v>
      </c>
      <c r="AF64" s="562">
        <f t="shared" si="112"/>
        <v>818.47007530717417</v>
      </c>
      <c r="AG64" s="545">
        <f t="shared" si="82"/>
        <v>0.10091999999999998</v>
      </c>
      <c r="AI64" s="178">
        <f t="shared" si="83"/>
        <v>0.45499180636539943</v>
      </c>
      <c r="AJ64" s="178">
        <f t="shared" si="84"/>
        <v>0.49177228786251348</v>
      </c>
      <c r="AK64" s="178">
        <f t="shared" si="85"/>
        <v>1.3494609539722322</v>
      </c>
      <c r="AM64" s="562">
        <f t="shared" si="86"/>
        <v>236</v>
      </c>
      <c r="AN64" s="471">
        <f t="shared" si="87"/>
        <v>293.48928451122345</v>
      </c>
      <c r="AP64">
        <f t="shared" si="88"/>
        <v>236</v>
      </c>
      <c r="AQ64">
        <f t="shared" si="89"/>
        <v>293.48928451122345</v>
      </c>
      <c r="AS64" s="5">
        <f t="shared" si="51"/>
        <v>3.4072794230474148</v>
      </c>
      <c r="AT64" s="5">
        <f t="shared" si="90"/>
        <v>1.721203007518797</v>
      </c>
      <c r="AU64" s="5">
        <f t="shared" si="52"/>
        <v>1.6860764155286179</v>
      </c>
      <c r="AV64" s="5">
        <f t="shared" si="91"/>
        <v>1.6860764155286174</v>
      </c>
      <c r="AW64" s="178">
        <f t="shared" si="53"/>
        <v>0.50515463917525771</v>
      </c>
      <c r="AX64" s="178">
        <f t="shared" si="92"/>
        <v>2.9810526315789474</v>
      </c>
      <c r="AY64" s="178">
        <f t="shared" si="93"/>
        <v>0.24335123523093452</v>
      </c>
      <c r="AZ64" s="178">
        <f t="shared" si="54"/>
        <v>12.249999999999998</v>
      </c>
      <c r="BA64" s="471">
        <f t="shared" si="94"/>
        <v>3.3850325814536335</v>
      </c>
      <c r="BB64" s="5">
        <f t="shared" si="95"/>
        <v>0.1745236991512078</v>
      </c>
      <c r="BC64" s="5"/>
      <c r="BD64" s="178">
        <f t="shared" si="55"/>
        <v>0.20179741442499988</v>
      </c>
      <c r="BE64" s="178">
        <f t="shared" si="96"/>
        <v>0.3994552852801514</v>
      </c>
      <c r="BF64" s="178"/>
      <c r="BG64" s="545">
        <f t="shared" si="97"/>
        <v>1.4252768764015301E-2</v>
      </c>
      <c r="BH64" s="545">
        <f t="shared" si="98"/>
        <v>5.2500000000000005E-2</v>
      </c>
      <c r="BI64" s="545">
        <f t="shared" si="99"/>
        <v>3.668616056390293E-3</v>
      </c>
      <c r="BJ64" s="545">
        <f t="shared" si="100"/>
        <v>3.451800847457627E-2</v>
      </c>
      <c r="BK64">
        <f t="shared" si="101"/>
        <v>6.96E-3</v>
      </c>
      <c r="BL64" s="545">
        <f t="shared" si="102"/>
        <v>0.11245476061886324</v>
      </c>
      <c r="BM64" s="471">
        <f t="shared" si="56"/>
        <v>112.45476061886323</v>
      </c>
      <c r="BN64" s="545">
        <f t="shared" si="103"/>
        <v>7.0799999999999988E-2</v>
      </c>
      <c r="BO64" s="545"/>
      <c r="BQ64" s="471">
        <f t="shared" si="57"/>
        <v>70.799999999999983</v>
      </c>
      <c r="BR64" s="545">
        <f t="shared" si="104"/>
        <v>3.8686086645184393E-3</v>
      </c>
      <c r="BS64" s="545">
        <f t="shared" si="105"/>
        <v>1.436080724444224E-2</v>
      </c>
      <c r="BT64" s="545">
        <f t="shared" si="106"/>
        <v>1.2512980214660073E-2</v>
      </c>
      <c r="BU64" s="545">
        <f t="shared" si="107"/>
        <v>3.0787294875861061E-2</v>
      </c>
      <c r="BV64" s="545">
        <f t="shared" si="108"/>
        <v>1.5969924812030075E-2</v>
      </c>
      <c r="BW64" s="471">
        <f t="shared" si="58"/>
        <v>46.757219687891137</v>
      </c>
      <c r="BX64" s="178">
        <f t="shared" si="59"/>
        <v>0.23001198030675438</v>
      </c>
      <c r="BY64" s="5">
        <f t="shared" si="60"/>
        <v>2.8319999999999999</v>
      </c>
      <c r="BZ64" s="178">
        <f t="shared" si="61"/>
        <v>0.92488207695264746</v>
      </c>
      <c r="CA64" s="5">
        <f t="shared" si="62"/>
        <v>92.488207695264748</v>
      </c>
      <c r="CD64" s="580">
        <f t="shared" si="109"/>
        <v>-50</v>
      </c>
      <c r="CE64">
        <f t="shared" si="110"/>
        <v>-50</v>
      </c>
    </row>
    <row r="65" spans="5:83" x14ac:dyDescent="0.2">
      <c r="E65" s="175">
        <v>60</v>
      </c>
      <c r="F65" s="222">
        <f t="shared" si="111"/>
        <v>0.24</v>
      </c>
      <c r="G65" s="222"/>
      <c r="H65" s="222">
        <f t="shared" si="64"/>
        <v>2.88</v>
      </c>
      <c r="I65" s="558">
        <f t="shared" si="65"/>
        <v>24</v>
      </c>
      <c r="J65" s="177">
        <f t="shared" si="66"/>
        <v>24.5</v>
      </c>
      <c r="K65" s="453">
        <f t="shared" si="67"/>
        <v>48.5</v>
      </c>
      <c r="L65" s="453"/>
      <c r="M65" s="222">
        <f t="shared" si="68"/>
        <v>0.50515463917525771</v>
      </c>
      <c r="N65" s="177">
        <f t="shared" si="5"/>
        <v>8.3502061855670089</v>
      </c>
      <c r="O65" s="177">
        <f t="shared" si="49"/>
        <v>2.88</v>
      </c>
      <c r="P65" s="222">
        <f t="shared" si="69"/>
        <v>0.69585051546391741</v>
      </c>
      <c r="Q65" s="222">
        <f t="shared" si="70"/>
        <v>12</v>
      </c>
      <c r="R65" s="222">
        <f t="shared" si="71"/>
        <v>0.73247422680412366</v>
      </c>
      <c r="S65" s="177">
        <f t="shared" si="72"/>
        <v>56.92746822032133</v>
      </c>
      <c r="T65" s="177">
        <f t="shared" si="73"/>
        <v>12</v>
      </c>
      <c r="U65" s="222">
        <f t="shared" si="74"/>
        <v>0.50010741138560688</v>
      </c>
      <c r="V65" s="222">
        <f t="shared" si="75"/>
        <v>1.7503759398496241</v>
      </c>
      <c r="W65" s="222">
        <f t="shared" si="76"/>
        <v>1.7146539818935094</v>
      </c>
      <c r="X65" s="202">
        <f t="shared" si="77"/>
        <v>350</v>
      </c>
      <c r="Y65" s="453">
        <f t="shared" si="50"/>
        <v>288.59779643603639</v>
      </c>
      <c r="AA65" s="222">
        <f t="shared" si="78"/>
        <v>0.41237113402061859</v>
      </c>
      <c r="AB65" s="178">
        <f t="shared" si="79"/>
        <v>1.4138438880706923</v>
      </c>
      <c r="AC65" s="178">
        <f t="shared" si="80"/>
        <v>0.20405994260814117</v>
      </c>
      <c r="AD65" s="178"/>
      <c r="AE65" s="178">
        <f t="shared" si="81"/>
        <v>0.99428571428571422</v>
      </c>
      <c r="AF65" s="562">
        <f t="shared" si="112"/>
        <v>832.34244946492288</v>
      </c>
      <c r="AG65" s="545">
        <f t="shared" si="82"/>
        <v>0.10091999999999998</v>
      </c>
      <c r="AI65" s="178">
        <f t="shared" si="83"/>
        <v>0.45883146774112354</v>
      </c>
      <c r="AJ65" s="178">
        <f t="shared" si="84"/>
        <v>0.50010741138560688</v>
      </c>
      <c r="AK65" s="178">
        <f t="shared" si="85"/>
        <v>1.3556351195448939</v>
      </c>
      <c r="AM65" s="562">
        <f t="shared" si="86"/>
        <v>240</v>
      </c>
      <c r="AN65" s="471">
        <f t="shared" si="87"/>
        <v>288.59779643603639</v>
      </c>
      <c r="AP65">
        <f t="shared" si="88"/>
        <v>240</v>
      </c>
      <c r="AQ65">
        <f t="shared" si="89"/>
        <v>288.59779643603639</v>
      </c>
      <c r="AS65" s="5">
        <f t="shared" si="51"/>
        <v>3.4650299217431337</v>
      </c>
      <c r="AT65" s="5">
        <f t="shared" si="90"/>
        <v>1.7503759398496241</v>
      </c>
      <c r="AU65" s="5">
        <f t="shared" si="52"/>
        <v>1.7146539818935096</v>
      </c>
      <c r="AV65" s="5">
        <f t="shared" si="91"/>
        <v>1.7146539818935094</v>
      </c>
      <c r="AW65" s="178">
        <f t="shared" si="53"/>
        <v>0.50515463917525771</v>
      </c>
      <c r="AX65" s="178">
        <f t="shared" si="92"/>
        <v>3.0315789473684207</v>
      </c>
      <c r="AY65" s="178">
        <f t="shared" si="93"/>
        <v>0.24747583243823845</v>
      </c>
      <c r="AZ65" s="178">
        <f t="shared" si="54"/>
        <v>12.249999999999998</v>
      </c>
      <c r="BA65" s="471">
        <f t="shared" si="94"/>
        <v>3.5007518796992483</v>
      </c>
      <c r="BB65" s="5">
        <f t="shared" si="95"/>
        <v>0.18048989283089573</v>
      </c>
      <c r="BC65" s="5"/>
      <c r="BD65" s="178">
        <f t="shared" si="55"/>
        <v>0.20521770958474564</v>
      </c>
      <c r="BE65" s="178">
        <f t="shared" si="96"/>
        <v>0.40622571384422174</v>
      </c>
      <c r="BF65" s="178"/>
      <c r="BG65" s="545">
        <f t="shared" si="97"/>
        <v>1.4740007914523149E-2</v>
      </c>
      <c r="BH65" s="545">
        <f t="shared" si="98"/>
        <v>5.2499999999999998E-2</v>
      </c>
      <c r="BI65" s="545">
        <f t="shared" si="99"/>
        <v>3.6074724554504547E-3</v>
      </c>
      <c r="BJ65" s="545">
        <f t="shared" si="100"/>
        <v>3.3942708333333335E-2</v>
      </c>
      <c r="BK65">
        <f t="shared" si="101"/>
        <v>6.96E-3</v>
      </c>
      <c r="BL65" s="545">
        <f t="shared" si="102"/>
        <v>0.11232387308396974</v>
      </c>
      <c r="BM65" s="471">
        <f t="shared" si="56"/>
        <v>112.32387308396974</v>
      </c>
      <c r="BN65" s="545">
        <f t="shared" si="103"/>
        <v>7.1999999999999995E-2</v>
      </c>
      <c r="BO65" s="545"/>
      <c r="BQ65" s="471">
        <f t="shared" si="57"/>
        <v>72</v>
      </c>
      <c r="BR65" s="545">
        <f t="shared" si="104"/>
        <v>4.0008592910848548E-3</v>
      </c>
      <c r="BS65" s="545">
        <f t="shared" si="105"/>
        <v>1.4851739752942277E-2</v>
      </c>
      <c r="BT65" s="545">
        <f t="shared" si="106"/>
        <v>1.2512980214660078E-2</v>
      </c>
      <c r="BU65" s="545">
        <f t="shared" si="107"/>
        <v>3.1412956528624941E-2</v>
      </c>
      <c r="BV65" s="545">
        <f t="shared" si="108"/>
        <v>1.6240601503759399E-2</v>
      </c>
      <c r="BW65" s="471">
        <f t="shared" si="58"/>
        <v>47.653558032384346</v>
      </c>
      <c r="BX65" s="178">
        <f t="shared" si="59"/>
        <v>0.23197743111635408</v>
      </c>
      <c r="BY65" s="5">
        <f t="shared" si="60"/>
        <v>2.88</v>
      </c>
      <c r="BZ65" s="178">
        <f t="shared" si="61"/>
        <v>0.92545658307260359</v>
      </c>
      <c r="CA65" s="5">
        <f t="shared" si="62"/>
        <v>92.545658307260354</v>
      </c>
      <c r="CD65" s="580">
        <f t="shared" si="109"/>
        <v>-50</v>
      </c>
      <c r="CE65">
        <f t="shared" si="110"/>
        <v>-50</v>
      </c>
    </row>
    <row r="66" spans="5:83" x14ac:dyDescent="0.2">
      <c r="E66" s="175">
        <v>61</v>
      </c>
      <c r="F66" s="222">
        <f t="shared" si="111"/>
        <v>0.24399999999999999</v>
      </c>
      <c r="G66" s="222"/>
      <c r="H66" s="222">
        <f t="shared" si="64"/>
        <v>2.9279999999999999</v>
      </c>
      <c r="I66" s="558">
        <f t="shared" si="65"/>
        <v>24</v>
      </c>
      <c r="J66" s="177">
        <f t="shared" si="66"/>
        <v>24.5</v>
      </c>
      <c r="K66" s="453">
        <f t="shared" si="67"/>
        <v>48.5</v>
      </c>
      <c r="L66" s="453"/>
      <c r="M66" s="222">
        <f t="shared" si="68"/>
        <v>0.50515463917525771</v>
      </c>
      <c r="N66" s="177">
        <f t="shared" si="5"/>
        <v>8.3502061855670089</v>
      </c>
      <c r="O66" s="177">
        <f t="shared" si="49"/>
        <v>2.9279999999999999</v>
      </c>
      <c r="P66" s="222">
        <f t="shared" si="69"/>
        <v>0.69585051546391741</v>
      </c>
      <c r="Q66" s="222">
        <f t="shared" si="70"/>
        <v>12</v>
      </c>
      <c r="R66" s="222">
        <f t="shared" si="71"/>
        <v>0.73247422680412366</v>
      </c>
      <c r="S66" s="177">
        <f t="shared" si="72"/>
        <v>55.799425827250225</v>
      </c>
      <c r="T66" s="177">
        <f t="shared" si="73"/>
        <v>12</v>
      </c>
      <c r="U66" s="222">
        <f t="shared" si="74"/>
        <v>0.50844253490870039</v>
      </c>
      <c r="V66" s="222">
        <f t="shared" si="75"/>
        <v>1.7795488721804511</v>
      </c>
      <c r="W66" s="222">
        <f t="shared" si="76"/>
        <v>1.7432315482584011</v>
      </c>
      <c r="X66" s="202">
        <f t="shared" si="77"/>
        <v>350</v>
      </c>
      <c r="Y66" s="453">
        <f t="shared" si="50"/>
        <v>283.86668501905223</v>
      </c>
      <c r="AA66" s="222">
        <f t="shared" si="78"/>
        <v>0.41237113402061859</v>
      </c>
      <c r="AB66" s="178">
        <f t="shared" si="79"/>
        <v>1.4138438880706923</v>
      </c>
      <c r="AC66" s="178">
        <f t="shared" si="80"/>
        <v>0.20405994260814117</v>
      </c>
      <c r="AD66" s="178"/>
      <c r="AE66" s="178">
        <f t="shared" si="81"/>
        <v>0.99428571428571422</v>
      </c>
      <c r="AF66" s="562">
        <f t="shared" si="112"/>
        <v>846.2148236226717</v>
      </c>
      <c r="AG66" s="545">
        <f t="shared" si="82"/>
        <v>0.10091999999999998</v>
      </c>
      <c r="AI66" s="178">
        <f t="shared" si="83"/>
        <v>0.4626392630541622</v>
      </c>
      <c r="AJ66" s="178">
        <f t="shared" si="84"/>
        <v>0.50844253490870039</v>
      </c>
      <c r="AK66" s="178">
        <f t="shared" si="85"/>
        <v>1.3618092851175558</v>
      </c>
      <c r="AM66" s="562">
        <f t="shared" si="86"/>
        <v>244</v>
      </c>
      <c r="AN66" s="471">
        <f t="shared" si="87"/>
        <v>283.86668501905223</v>
      </c>
      <c r="AP66">
        <f t="shared" si="88"/>
        <v>244</v>
      </c>
      <c r="AQ66">
        <f t="shared" si="89"/>
        <v>283.86668501905223</v>
      </c>
      <c r="AS66" s="5">
        <f t="shared" si="51"/>
        <v>3.5227804204388522</v>
      </c>
      <c r="AT66" s="5">
        <f t="shared" si="90"/>
        <v>1.7795488721804511</v>
      </c>
      <c r="AU66" s="5">
        <f t="shared" si="52"/>
        <v>1.7432315482584011</v>
      </c>
      <c r="AV66" s="5">
        <f t="shared" si="91"/>
        <v>1.7432315482584011</v>
      </c>
      <c r="AW66" s="178">
        <f t="shared" si="53"/>
        <v>0.50515463917525771</v>
      </c>
      <c r="AX66" s="178">
        <f t="shared" si="92"/>
        <v>3.0821052631578953</v>
      </c>
      <c r="AY66" s="178">
        <f t="shared" si="93"/>
        <v>0.25160042964554247</v>
      </c>
      <c r="AZ66" s="178">
        <f t="shared" si="54"/>
        <v>12.25</v>
      </c>
      <c r="BA66" s="471">
        <f t="shared" si="94"/>
        <v>3.6184160401002505</v>
      </c>
      <c r="BB66" s="5">
        <f t="shared" si="95"/>
        <v>0.18655635867326748</v>
      </c>
      <c r="BC66" s="5"/>
      <c r="BD66" s="178">
        <f t="shared" si="55"/>
        <v>0.20863800474449143</v>
      </c>
      <c r="BE66" s="178">
        <f t="shared" si="96"/>
        <v>0.41299614240829213</v>
      </c>
      <c r="BF66" s="178"/>
      <c r="BG66" s="545">
        <f t="shared" si="97"/>
        <v>1.5235435958316848E-2</v>
      </c>
      <c r="BH66" s="545">
        <f t="shared" si="98"/>
        <v>5.2500000000000005E-2</v>
      </c>
      <c r="BI66" s="545">
        <f t="shared" si="99"/>
        <v>3.5483335627381528E-3</v>
      </c>
      <c r="BJ66" s="545">
        <f t="shared" si="100"/>
        <v>3.3386270491803281E-2</v>
      </c>
      <c r="BK66">
        <f t="shared" si="101"/>
        <v>6.96E-3</v>
      </c>
      <c r="BL66" s="545">
        <f t="shared" si="102"/>
        <v>0.11222247125475976</v>
      </c>
      <c r="BM66" s="471">
        <f t="shared" si="56"/>
        <v>112.22247125475975</v>
      </c>
      <c r="BN66" s="545">
        <f t="shared" si="103"/>
        <v>7.3200000000000001E-2</v>
      </c>
      <c r="BO66" s="545"/>
      <c r="BQ66" s="471">
        <f t="shared" si="57"/>
        <v>73.2</v>
      </c>
      <c r="BR66" s="545">
        <f t="shared" si="104"/>
        <v>4.1353326172574303E-3</v>
      </c>
      <c r="BS66" s="545">
        <f t="shared" si="105"/>
        <v>1.5350923227971727E-2</v>
      </c>
      <c r="BT66" s="545">
        <f t="shared" si="106"/>
        <v>1.2512980214660085E-2</v>
      </c>
      <c r="BU66" s="545">
        <f t="shared" si="107"/>
        <v>3.2049197568966299E-2</v>
      </c>
      <c r="BV66" s="545">
        <f t="shared" si="108"/>
        <v>1.6511278195488727E-2</v>
      </c>
      <c r="BW66" s="471">
        <f t="shared" si="58"/>
        <v>48.560475764455028</v>
      </c>
      <c r="BX66" s="178">
        <f t="shared" si="59"/>
        <v>0.23398294701921477</v>
      </c>
      <c r="BY66" s="5">
        <f t="shared" si="60"/>
        <v>2.9279999999999999</v>
      </c>
      <c r="BZ66" s="178">
        <f t="shared" si="61"/>
        <v>0.92600119895023814</v>
      </c>
      <c r="CA66" s="5">
        <f t="shared" si="62"/>
        <v>92.600119895023809</v>
      </c>
      <c r="CD66" s="580">
        <f t="shared" si="109"/>
        <v>-50</v>
      </c>
      <c r="CE66">
        <f t="shared" si="110"/>
        <v>-50</v>
      </c>
    </row>
    <row r="67" spans="5:83" x14ac:dyDescent="0.2">
      <c r="E67" s="175">
        <v>62</v>
      </c>
      <c r="F67" s="222">
        <f t="shared" si="111"/>
        <v>0.248</v>
      </c>
      <c r="G67" s="222"/>
      <c r="H67" s="222">
        <f t="shared" si="64"/>
        <v>2.976</v>
      </c>
      <c r="I67" s="558">
        <f t="shared" si="65"/>
        <v>24</v>
      </c>
      <c r="J67" s="177">
        <f t="shared" si="66"/>
        <v>24.5</v>
      </c>
      <c r="K67" s="453">
        <f t="shared" si="67"/>
        <v>48.5</v>
      </c>
      <c r="L67" s="453"/>
      <c r="M67" s="222">
        <f t="shared" si="68"/>
        <v>0.50515463917525771</v>
      </c>
      <c r="N67" s="177">
        <f t="shared" si="5"/>
        <v>8.3502061855670089</v>
      </c>
      <c r="O67" s="177">
        <f t="shared" si="49"/>
        <v>2.976</v>
      </c>
      <c r="P67" s="222">
        <f t="shared" si="69"/>
        <v>0.69585051546391741</v>
      </c>
      <c r="Q67" s="222">
        <f t="shared" si="70"/>
        <v>12</v>
      </c>
      <c r="R67" s="222">
        <f t="shared" si="71"/>
        <v>0.73247422680412366</v>
      </c>
      <c r="S67" s="177">
        <f t="shared" si="72"/>
        <v>54.707813131329893</v>
      </c>
      <c r="T67" s="177">
        <f t="shared" si="73"/>
        <v>12</v>
      </c>
      <c r="U67" s="222">
        <f t="shared" si="74"/>
        <v>0.5167776584317938</v>
      </c>
      <c r="V67" s="222">
        <f t="shared" si="75"/>
        <v>1.8087218045112783</v>
      </c>
      <c r="W67" s="222">
        <f t="shared" si="76"/>
        <v>1.771809114623293</v>
      </c>
      <c r="X67" s="202">
        <f t="shared" si="77"/>
        <v>350</v>
      </c>
      <c r="Y67" s="453">
        <f t="shared" si="50"/>
        <v>279.28819009939002</v>
      </c>
      <c r="AA67" s="222">
        <f t="shared" si="78"/>
        <v>0.41237113402061859</v>
      </c>
      <c r="AB67" s="178">
        <f t="shared" si="79"/>
        <v>1.4138438880706923</v>
      </c>
      <c r="AC67" s="178">
        <f t="shared" si="80"/>
        <v>0.20405994260814117</v>
      </c>
      <c r="AD67" s="178"/>
      <c r="AE67" s="178">
        <f t="shared" si="81"/>
        <v>0.99428571428571422</v>
      </c>
      <c r="AF67" s="562">
        <f t="shared" si="112"/>
        <v>860.0871977804203</v>
      </c>
      <c r="AG67" s="545">
        <f t="shared" si="82"/>
        <v>0.10091999999999998</v>
      </c>
      <c r="AI67" s="178">
        <f t="shared" si="83"/>
        <v>0.46641597276371533</v>
      </c>
      <c r="AJ67" s="178">
        <f t="shared" si="84"/>
        <v>0.5167776584317938</v>
      </c>
      <c r="AK67" s="178">
        <f t="shared" si="85"/>
        <v>1.3679834506902175</v>
      </c>
      <c r="AM67" s="562">
        <f t="shared" si="86"/>
        <v>248</v>
      </c>
      <c r="AN67" s="471">
        <f t="shared" si="87"/>
        <v>279.28819009939002</v>
      </c>
      <c r="AP67">
        <f t="shared" si="88"/>
        <v>248</v>
      </c>
      <c r="AQ67">
        <f t="shared" si="89"/>
        <v>279.28819009939002</v>
      </c>
      <c r="AS67" s="5">
        <f t="shared" si="51"/>
        <v>3.580530919134572</v>
      </c>
      <c r="AT67" s="5">
        <f t="shared" si="90"/>
        <v>1.8087218045112783</v>
      </c>
      <c r="AU67" s="5">
        <f t="shared" si="52"/>
        <v>1.7718091146232937</v>
      </c>
      <c r="AV67" s="5">
        <f t="shared" si="91"/>
        <v>1.771809114623293</v>
      </c>
      <c r="AW67" s="178">
        <f t="shared" si="53"/>
        <v>0.5051546391752576</v>
      </c>
      <c r="AX67" s="178">
        <f t="shared" si="92"/>
        <v>3.1326315789473682</v>
      </c>
      <c r="AY67" s="178">
        <f t="shared" si="93"/>
        <v>0.25572502685284648</v>
      </c>
      <c r="AZ67" s="178">
        <f t="shared" si="54"/>
        <v>12.249999999999995</v>
      </c>
      <c r="BA67" s="471">
        <f t="shared" si="94"/>
        <v>3.738025062656642</v>
      </c>
      <c r="BB67" s="5">
        <f t="shared" si="95"/>
        <v>0.19272309667832316</v>
      </c>
      <c r="BC67" s="5"/>
      <c r="BD67" s="178">
        <f t="shared" si="55"/>
        <v>0.21205829990423714</v>
      </c>
      <c r="BE67" s="178">
        <f t="shared" si="96"/>
        <v>0.41976657097236253</v>
      </c>
      <c r="BF67" s="178"/>
      <c r="BG67" s="545">
        <f t="shared" si="97"/>
        <v>1.5739052895396382E-2</v>
      </c>
      <c r="BH67" s="545">
        <f t="shared" si="98"/>
        <v>5.2499999999999984E-2</v>
      </c>
      <c r="BI67" s="545">
        <f t="shared" si="99"/>
        <v>3.4911023762423752E-3</v>
      </c>
      <c r="BJ67" s="545">
        <f t="shared" si="100"/>
        <v>3.2847782258064513E-2</v>
      </c>
      <c r="BK67">
        <f t="shared" si="101"/>
        <v>6.96E-3</v>
      </c>
      <c r="BL67" s="545">
        <f t="shared" si="102"/>
        <v>0.11214955430108653</v>
      </c>
      <c r="BM67" s="471">
        <f t="shared" si="56"/>
        <v>112.14955430108652</v>
      </c>
      <c r="BN67" s="545">
        <f t="shared" si="103"/>
        <v>7.4399999999999994E-2</v>
      </c>
      <c r="BO67" s="545"/>
      <c r="BQ67" s="471">
        <f t="shared" si="57"/>
        <v>74.399999999999991</v>
      </c>
      <c r="BR67" s="545">
        <f t="shared" si="104"/>
        <v>4.2720286430361614E-3</v>
      </c>
      <c r="BS67" s="545">
        <f t="shared" si="105"/>
        <v>1.5858357669530591E-2</v>
      </c>
      <c r="BT67" s="545">
        <f t="shared" si="106"/>
        <v>1.2512980214660087E-2</v>
      </c>
      <c r="BU67" s="545">
        <f t="shared" si="107"/>
        <v>3.2696021210254542E-2</v>
      </c>
      <c r="BV67" s="545">
        <f t="shared" si="108"/>
        <v>1.6781954887218047E-2</v>
      </c>
      <c r="BW67" s="471">
        <f t="shared" si="58"/>
        <v>49.477976097472592</v>
      </c>
      <c r="BX67" s="178">
        <f t="shared" si="59"/>
        <v>0.23602753039855909</v>
      </c>
      <c r="BY67" s="5">
        <f t="shared" si="60"/>
        <v>2.976</v>
      </c>
      <c r="BZ67" s="178">
        <f t="shared" si="61"/>
        <v>0.92651758798304196</v>
      </c>
      <c r="CA67" s="5">
        <f t="shared" si="62"/>
        <v>92.651758798304201</v>
      </c>
      <c r="CD67" s="580">
        <f t="shared" si="109"/>
        <v>-50</v>
      </c>
      <c r="CE67">
        <f t="shared" si="110"/>
        <v>-50</v>
      </c>
    </row>
    <row r="68" spans="5:83" x14ac:dyDescent="0.2">
      <c r="E68" s="175">
        <v>63</v>
      </c>
      <c r="F68" s="222">
        <f t="shared" si="111"/>
        <v>0.252</v>
      </c>
      <c r="G68" s="222"/>
      <c r="H68" s="222">
        <f t="shared" si="64"/>
        <v>3.024</v>
      </c>
      <c r="I68" s="558">
        <f t="shared" si="65"/>
        <v>24</v>
      </c>
      <c r="J68" s="177">
        <f t="shared" si="66"/>
        <v>24.5</v>
      </c>
      <c r="K68" s="453">
        <f t="shared" si="67"/>
        <v>48.5</v>
      </c>
      <c r="L68" s="453"/>
      <c r="M68" s="222">
        <f t="shared" si="68"/>
        <v>0.50515463917525771</v>
      </c>
      <c r="N68" s="177">
        <f t="shared" si="5"/>
        <v>8.3502061855670089</v>
      </c>
      <c r="O68" s="177">
        <f t="shared" si="49"/>
        <v>3.024</v>
      </c>
      <c r="P68" s="222">
        <f t="shared" si="69"/>
        <v>0.69585051546391741</v>
      </c>
      <c r="Q68" s="222">
        <f t="shared" si="70"/>
        <v>12</v>
      </c>
      <c r="R68" s="222">
        <f t="shared" si="71"/>
        <v>0.73247422680412366</v>
      </c>
      <c r="S68" s="177">
        <f t="shared" si="72"/>
        <v>53.650895797315641</v>
      </c>
      <c r="T68" s="177">
        <f t="shared" si="73"/>
        <v>12</v>
      </c>
      <c r="U68" s="222">
        <f t="shared" si="74"/>
        <v>0.52511278195488731</v>
      </c>
      <c r="V68" s="222">
        <f t="shared" si="75"/>
        <v>1.8378947368421052</v>
      </c>
      <c r="W68" s="222">
        <f t="shared" si="76"/>
        <v>1.8003866809881848</v>
      </c>
      <c r="X68" s="202">
        <f t="shared" si="77"/>
        <v>350</v>
      </c>
      <c r="Y68" s="453">
        <f t="shared" si="50"/>
        <v>274.85504422479659</v>
      </c>
      <c r="AA68" s="222">
        <f t="shared" si="78"/>
        <v>0.41237113402061859</v>
      </c>
      <c r="AB68" s="178">
        <f t="shared" si="79"/>
        <v>1.4138438880706923</v>
      </c>
      <c r="AC68" s="178">
        <f t="shared" si="80"/>
        <v>0.20405994260814117</v>
      </c>
      <c r="AD68" s="178"/>
      <c r="AE68" s="178">
        <f t="shared" si="81"/>
        <v>0.99428571428571422</v>
      </c>
      <c r="AF68" s="562">
        <f t="shared" si="112"/>
        <v>873.95957193816912</v>
      </c>
      <c r="AG68" s="545">
        <f t="shared" si="82"/>
        <v>0.10091999999999998</v>
      </c>
      <c r="AI68" s="178">
        <f t="shared" si="83"/>
        <v>0.47016234598162726</v>
      </c>
      <c r="AJ68" s="178">
        <f t="shared" si="84"/>
        <v>0.52511278195488731</v>
      </c>
      <c r="AK68" s="178">
        <f t="shared" si="85"/>
        <v>1.3741576162628795</v>
      </c>
      <c r="AM68" s="562">
        <f t="shared" si="86"/>
        <v>252</v>
      </c>
      <c r="AN68" s="471">
        <f t="shared" si="87"/>
        <v>274.85504422479659</v>
      </c>
      <c r="AP68">
        <f t="shared" si="88"/>
        <v>252</v>
      </c>
      <c r="AQ68">
        <f t="shared" si="89"/>
        <v>274.85504422479659</v>
      </c>
      <c r="AS68" s="5">
        <f t="shared" si="51"/>
        <v>3.63828141783029</v>
      </c>
      <c r="AT68" s="5">
        <f t="shared" si="90"/>
        <v>1.8378947368421052</v>
      </c>
      <c r="AU68" s="5">
        <f t="shared" si="52"/>
        <v>1.8003866809881848</v>
      </c>
      <c r="AV68" s="5">
        <f t="shared" si="91"/>
        <v>1.8003866809881848</v>
      </c>
      <c r="AW68" s="178">
        <f t="shared" si="53"/>
        <v>0.50515463917525771</v>
      </c>
      <c r="AX68" s="178">
        <f t="shared" si="92"/>
        <v>3.1831578947368424</v>
      </c>
      <c r="AY68" s="178">
        <f t="shared" si="93"/>
        <v>0.25984962406015044</v>
      </c>
      <c r="AZ68" s="178">
        <f t="shared" si="54"/>
        <v>12.249999999999998</v>
      </c>
      <c r="BA68" s="471">
        <f t="shared" si="94"/>
        <v>3.859578947368421</v>
      </c>
      <c r="BB68" s="5">
        <f t="shared" si="95"/>
        <v>0.19899010684606253</v>
      </c>
      <c r="BC68" s="5"/>
      <c r="BD68" s="178">
        <f t="shared" si="55"/>
        <v>0.21547859506398295</v>
      </c>
      <c r="BE68" s="178">
        <f t="shared" si="96"/>
        <v>0.42653699953643287</v>
      </c>
      <c r="BF68" s="178"/>
      <c r="BG68" s="545">
        <f t="shared" si="97"/>
        <v>1.6250858725761777E-2</v>
      </c>
      <c r="BH68" s="545">
        <f t="shared" si="98"/>
        <v>5.2500000000000005E-2</v>
      </c>
      <c r="BI68" s="545">
        <f t="shared" si="99"/>
        <v>3.4356880528099575E-3</v>
      </c>
      <c r="BJ68" s="545">
        <f t="shared" si="100"/>
        <v>3.2326388888888891E-2</v>
      </c>
      <c r="BK68">
        <f t="shared" si="101"/>
        <v>6.96E-3</v>
      </c>
      <c r="BL68" s="545">
        <f t="shared" si="102"/>
        <v>0.11210418565423967</v>
      </c>
      <c r="BM68" s="471">
        <f t="shared" si="56"/>
        <v>112.10418565423967</v>
      </c>
      <c r="BN68" s="545">
        <f t="shared" si="103"/>
        <v>7.5600000000000001E-2</v>
      </c>
      <c r="BO68" s="545"/>
      <c r="BQ68" s="471">
        <f t="shared" si="57"/>
        <v>75.599999999999994</v>
      </c>
      <c r="BR68" s="545">
        <f t="shared" si="104"/>
        <v>4.4109473684210542E-3</v>
      </c>
      <c r="BS68" s="545">
        <f t="shared" si="105"/>
        <v>1.6374043077618864E-2</v>
      </c>
      <c r="BT68" s="545">
        <f t="shared" si="106"/>
        <v>1.2512980214660099E-2</v>
      </c>
      <c r="BU68" s="545">
        <f t="shared" si="107"/>
        <v>3.3353430719808327E-2</v>
      </c>
      <c r="BV68" s="545">
        <f t="shared" si="108"/>
        <v>1.7052631578947378E-2</v>
      </c>
      <c r="BW68" s="471">
        <f t="shared" si="58"/>
        <v>50.4060622987557</v>
      </c>
      <c r="BX68" s="178">
        <f t="shared" si="59"/>
        <v>0.2381102479529954</v>
      </c>
      <c r="BY68" s="5">
        <f t="shared" si="60"/>
        <v>3.024</v>
      </c>
      <c r="BZ68" s="178">
        <f t="shared" si="61"/>
        <v>0.92700729593599362</v>
      </c>
      <c r="CA68" s="5">
        <f t="shared" si="62"/>
        <v>92.700729593599362</v>
      </c>
      <c r="CD68" s="580">
        <f t="shared" si="109"/>
        <v>-50</v>
      </c>
      <c r="CE68">
        <f t="shared" si="110"/>
        <v>-50</v>
      </c>
    </row>
    <row r="69" spans="5:83" x14ac:dyDescent="0.2">
      <c r="E69" s="175">
        <v>64</v>
      </c>
      <c r="F69" s="222">
        <f t="shared" si="111"/>
        <v>0.25600000000000001</v>
      </c>
      <c r="G69" s="222"/>
      <c r="H69" s="222">
        <f t="shared" ref="H69:H100" si="113">F69*Vout</f>
        <v>3.0720000000000001</v>
      </c>
      <c r="I69" s="558">
        <f t="shared" ref="I69:I105" si="114">Vin</f>
        <v>24</v>
      </c>
      <c r="J69" s="177">
        <f t="shared" ref="J69:J105" si="115">(T69+Vfwd1)*Nps</f>
        <v>24.5</v>
      </c>
      <c r="K69" s="453">
        <f t="shared" ref="K69:K105" si="116">(Vout+Vfwd1)*Nps+I69</f>
        <v>48.5</v>
      </c>
      <c r="L69" s="453"/>
      <c r="M69" s="222">
        <f t="shared" ref="M69:M105" si="117">(Vout+Vfwd1)*Nps/((Vout+Vfwd1)*Nps+I69)</f>
        <v>0.50515463917525771</v>
      </c>
      <c r="N69" s="177">
        <f t="shared" ref="N69:N105" si="118">M69*I69*Isw_max*0.5*Efficiency</f>
        <v>8.3502061855670089</v>
      </c>
      <c r="O69" s="177">
        <f t="shared" si="49"/>
        <v>3.0720000000000001</v>
      </c>
      <c r="P69" s="222">
        <f t="shared" ref="P69:P100" si="119">N69/Vout</f>
        <v>0.69585051546391741</v>
      </c>
      <c r="Q69" s="222">
        <f t="shared" ref="Q69:Q105" si="120">MIN(Vout,N69/F69)</f>
        <v>12</v>
      </c>
      <c r="R69" s="222">
        <f t="shared" ref="R69:R100" si="121">Isw_max/2*I69*Nps*(Q69+Vfwd1)/Q69/(I69+Nps*(Q69+Vfwd1))</f>
        <v>0.73247422680412366</v>
      </c>
      <c r="S69" s="177">
        <f t="shared" ref="S69:S105" si="122">(SQRT(Isw_max^2*Nps^2*I69^2+4*Isw_max*F69/Efficiency*(Nps^2*Vfwd1*I69-Nps*I69^2)+4*(F69/Efficiency)^2*Nps^2*Vfwd1^2+8*(F69/Efficiency)^2*Nps*Vfwd1*I69+4*(F69/Efficiency)^2*I69^2)-2*F69/Efficiency*I69-2*F69/Efficiency*Nps*Vfwd1+Isw_max*Nps*I69)/(4*F69/Efficiency*Nps)</f>
        <v>52.627047891245184</v>
      </c>
      <c r="T69" s="177">
        <f t="shared" ref="T69:T100" si="123">MIN(Vout, S69)</f>
        <v>12</v>
      </c>
      <c r="U69" s="222">
        <f t="shared" ref="U69:U105" si="124">MIN(2*Vout*F69/(Efficiency*I69*M69), Isw_max)</f>
        <v>0.53344790547798071</v>
      </c>
      <c r="V69" s="222">
        <f t="shared" ref="V69:V100" si="125">L*U69/I69*1000000</f>
        <v>1.8670676691729324</v>
      </c>
      <c r="W69" s="222">
        <f t="shared" ref="W69:W105" si="126">L*U69/J69*1000000</f>
        <v>1.8289642473530765</v>
      </c>
      <c r="X69" s="202">
        <f t="shared" ref="X69:X105" si="127">IF(1/((350000*L)*(1/I69+1/J69))&gt;Isw_min, 350, 0.001/((Isw_min*L)*(1/I69+1/J69)))</f>
        <v>350</v>
      </c>
      <c r="Y69" s="453">
        <f t="shared" si="50"/>
        <v>270.56043415878412</v>
      </c>
      <c r="AA69" s="222">
        <f t="shared" ref="AA69:AA105" si="128">1/((X69*1000*L)*(1/I69+1/J69))</f>
        <v>0.41237113402061859</v>
      </c>
      <c r="AB69" s="178">
        <f t="shared" ref="AB69:AB100" si="129">L*AA69/J69*1000000</f>
        <v>1.4138438880706923</v>
      </c>
      <c r="AC69" s="178">
        <f t="shared" ref="AC69:AC100" si="130">0.5*AB69*AA69*Nps*X69/1000</f>
        <v>0.20405994260814117</v>
      </c>
      <c r="AD69" s="178"/>
      <c r="AE69" s="178">
        <f t="shared" ref="AE69:AE105" si="131">L*Isw_min/J69*1000000</f>
        <v>0.99428571428571422</v>
      </c>
      <c r="AF69" s="562">
        <f t="shared" si="112"/>
        <v>887.83194609591783</v>
      </c>
      <c r="AG69" s="545">
        <f t="shared" ref="AG69:AG105" si="132">0.5*AE69/1000000*Isw_min*Nps*X69*1000</f>
        <v>0.10091999999999998</v>
      </c>
      <c r="AI69" s="178">
        <f t="shared" ref="AI69:AI105" si="133">SQRT(F69/Efficiency/(0.5*L/J69*Fsw_DCM*Nps))</f>
        <v>0.47387910220727392</v>
      </c>
      <c r="AJ69" s="178">
        <f t="shared" ref="AJ69:AJ100" si="134">MAX(IF(F69&gt;AC69,U69,AI69),Isw_min)</f>
        <v>0.53344790547798071</v>
      </c>
      <c r="AK69" s="178">
        <f t="shared" ref="AK69:AK100" si="135">IF(F69&gt;AG69, (AJ69-Isw_min)/1.08*0.8+1.2, AF69*0.2/350+1)</f>
        <v>1.3803317818355412</v>
      </c>
      <c r="AM69" s="562">
        <f t="shared" ref="AM69:AM105" si="136">F69*1000</f>
        <v>256</v>
      </c>
      <c r="AN69" s="471">
        <f t="shared" ref="AN69:AN105" si="137">IF(F69&gt;AG69, Y69, AF69)</f>
        <v>270.56043415878412</v>
      </c>
      <c r="AP69">
        <f t="shared" ref="AP69:AP105" si="138">IF(H69&gt;N69, "",AM69)</f>
        <v>256</v>
      </c>
      <c r="AQ69">
        <f t="shared" ref="AQ69:AQ105" si="139">IF(H69&gt;N69, "",AN69)</f>
        <v>270.56043415878412</v>
      </c>
      <c r="AS69" s="5">
        <f t="shared" si="51"/>
        <v>3.6960319165260094</v>
      </c>
      <c r="AT69" s="5">
        <f t="shared" ref="AT69:AT105" si="140">L*AJ69/I69*1000000</f>
        <v>1.8670676691729324</v>
      </c>
      <c r="AU69" s="5">
        <f t="shared" si="52"/>
        <v>1.8289642473530769</v>
      </c>
      <c r="AV69" s="5">
        <f t="shared" ref="AV69:AV105" si="141">L*AJ69/J69*1000000</f>
        <v>1.8289642473530765</v>
      </c>
      <c r="AW69" s="178">
        <f t="shared" si="53"/>
        <v>0.50515463917525771</v>
      </c>
      <c r="AX69" s="178">
        <f t="shared" ref="AX69:AX132" si="142">0.5*L*AJ69^2*AN69*1000</f>
        <v>3.2336842105263162</v>
      </c>
      <c r="AY69" s="178">
        <f t="shared" ref="AY69:AY132" si="143">AJ69*Nps/2*(1-AW69)</f>
        <v>0.2639742212674544</v>
      </c>
      <c r="AZ69" s="178">
        <f t="shared" si="54"/>
        <v>12.249999999999998</v>
      </c>
      <c r="BA69" s="471">
        <f t="shared" ref="BA69:BA105" si="144">F69*AT69/Vout_ripple*1000</f>
        <v>3.9830776942355888</v>
      </c>
      <c r="BB69" s="5">
        <f t="shared" ref="BB69:BB105" si="145">H69/Efficiency/I69*AU69/Vinripple1</f>
        <v>0.20535738917648583</v>
      </c>
      <c r="BC69" s="5"/>
      <c r="BD69" s="178">
        <f t="shared" si="55"/>
        <v>0.21889889022372869</v>
      </c>
      <c r="BE69" s="178">
        <f t="shared" ref="BE69:BE132" si="146">AJ69*Nps*SQRT((1-AW69)/3)</f>
        <v>0.43330742810050321</v>
      </c>
      <c r="BF69" s="178"/>
      <c r="BG69" s="545">
        <f t="shared" ref="BG69:BG105" si="147">Rdson*BD69^2</f>
        <v>1.6770853449413006E-2</v>
      </c>
      <c r="BH69" s="545">
        <f t="shared" ref="BH69:BH105" si="148">0.5*K69*AJ69*AN69*1000*Trise</f>
        <v>5.2499999999999998E-2</v>
      </c>
      <c r="BI69" s="545">
        <f t="shared" ref="BI69:BI105" si="149">Qg*Vdd*AN69*1000</f>
        <v>3.3820054269848012E-3</v>
      </c>
      <c r="BJ69" s="545">
        <f t="shared" ref="BJ69:BJ105" si="150">0.5*(Coss+Csw)*K69^2*AN69*1000</f>
        <v>3.1821289062500001E-2</v>
      </c>
      <c r="BK69">
        <f t="shared" ref="BK69:BK105" si="151">I69*IQ</f>
        <v>6.96E-3</v>
      </c>
      <c r="BL69" s="545">
        <f t="shared" ref="BL69:BL100" si="152">(BH69+BI69+BJ69+BK69+BG69*(1+RdsonTC*(Ta-25)))/(1-BG69*RdsonTC*ThetaJA)</f>
        <v>0.11208548799893481</v>
      </c>
      <c r="BM69" s="471">
        <f t="shared" si="56"/>
        <v>112.08548799893481</v>
      </c>
      <c r="BN69" s="545">
        <f t="shared" ref="BN69:BN105" si="153">Vfwd2*F69*(1+Diode_TC/1000*(Ta-25))</f>
        <v>7.6799999999999993E-2</v>
      </c>
      <c r="BO69" s="545"/>
      <c r="BQ69" s="471">
        <f t="shared" si="57"/>
        <v>76.8</v>
      </c>
      <c r="BR69" s="545">
        <f t="shared" ref="BR69:BR105" si="154">Rdcr_pri*BD69^2</f>
        <v>4.5520887934121018E-3</v>
      </c>
      <c r="BS69" s="545">
        <f t="shared" ref="BS69:BS105" si="155">Rdcr_sec*BE69^2</f>
        <v>1.6897979452236547E-2</v>
      </c>
      <c r="BT69" s="545">
        <f t="shared" ref="BT69:BT105" si="156">AJ69^2.5*AN69^2.5*k_core</f>
        <v>1.2512980214660083E-2</v>
      </c>
      <c r="BU69" s="545">
        <f t="shared" ref="BU69:BU100" si="157">(BT69+(BR69+BS69)*(1+Ltc*(Ta-25)))/(1-(BR69+BS69)*Ltc*ThetaCa)</f>
        <v>3.4021429418936787E-2</v>
      </c>
      <c r="BV69" s="545">
        <f t="shared" ref="BV69:BV105" si="158">0.5*Lleak*0.000000001*AJ69^2*AN69*1000</f>
        <v>1.7323308270676695E-2</v>
      </c>
      <c r="BW69" s="471">
        <f t="shared" si="58"/>
        <v>51.344737689613481</v>
      </c>
      <c r="BX69" s="178">
        <f t="shared" si="59"/>
        <v>0.24023022568854827</v>
      </c>
      <c r="BY69" s="5">
        <f t="shared" si="60"/>
        <v>3.0720000000000001</v>
      </c>
      <c r="BZ69" s="178">
        <f t="shared" si="61"/>
        <v>0.92747176092247363</v>
      </c>
      <c r="CA69" s="5">
        <f t="shared" si="62"/>
        <v>92.747176092247358</v>
      </c>
      <c r="CD69" s="580">
        <f t="shared" ref="CD69:CD105" si="159">IF(ABS(F69-Ioutmax_Vinnom)&lt;Iout/200, AN69, -50)</f>
        <v>-50</v>
      </c>
      <c r="CE69">
        <f t="shared" ref="CE69:CE105" si="160">IF(ABS(F69-Ioutmax_Vinnom)&lt;Iout/200, N69*BZ69, -50)</f>
        <v>-50</v>
      </c>
    </row>
    <row r="70" spans="5:83" x14ac:dyDescent="0.2">
      <c r="E70" s="175">
        <v>65</v>
      </c>
      <c r="F70" s="222">
        <f t="shared" ref="F70:F101" si="161">IF(PLOT_TYPE=1, E70/100*Iout_max, min_I*EXP(N70*rr/100))</f>
        <v>0.26</v>
      </c>
      <c r="G70" s="222"/>
      <c r="H70" s="222">
        <f t="shared" si="113"/>
        <v>3.12</v>
      </c>
      <c r="I70" s="558">
        <f t="shared" si="114"/>
        <v>24</v>
      </c>
      <c r="J70" s="177">
        <f t="shared" si="115"/>
        <v>24.5</v>
      </c>
      <c r="K70" s="453">
        <f t="shared" si="116"/>
        <v>48.5</v>
      </c>
      <c r="L70" s="453"/>
      <c r="M70" s="222">
        <f t="shared" si="117"/>
        <v>0.50515463917525771</v>
      </c>
      <c r="N70" s="177">
        <f t="shared" si="118"/>
        <v>8.3502061855670089</v>
      </c>
      <c r="O70" s="177">
        <f t="shared" ref="O70:O133" si="162">T70*F70</f>
        <v>3.12</v>
      </c>
      <c r="P70" s="222">
        <f t="shared" si="119"/>
        <v>0.69585051546391741</v>
      </c>
      <c r="Q70" s="222">
        <f t="shared" si="120"/>
        <v>12</v>
      </c>
      <c r="R70" s="222">
        <f t="shared" si="121"/>
        <v>0.73247422680412366</v>
      </c>
      <c r="S70" s="177">
        <f t="shared" si="122"/>
        <v>51.634743541961576</v>
      </c>
      <c r="T70" s="177">
        <f t="shared" si="123"/>
        <v>12</v>
      </c>
      <c r="U70" s="222">
        <f t="shared" si="124"/>
        <v>0.54178302900107422</v>
      </c>
      <c r="V70" s="222">
        <f t="shared" si="125"/>
        <v>1.8962406015037598</v>
      </c>
      <c r="W70" s="222">
        <f t="shared" si="126"/>
        <v>1.8575418137179689</v>
      </c>
      <c r="X70" s="202">
        <f t="shared" si="127"/>
        <v>350</v>
      </c>
      <c r="Y70" s="453">
        <f t="shared" ref="Y70:Y105" si="163">MIN(1/(V70+W70)*1000, 350)</f>
        <v>266.39796594095662</v>
      </c>
      <c r="AA70" s="222">
        <f t="shared" si="128"/>
        <v>0.41237113402061859</v>
      </c>
      <c r="AB70" s="178">
        <f t="shared" si="129"/>
        <v>1.4138438880706923</v>
      </c>
      <c r="AC70" s="178">
        <f t="shared" si="130"/>
        <v>0.20405994260814117</v>
      </c>
      <c r="AD70" s="178"/>
      <c r="AE70" s="178">
        <f t="shared" si="131"/>
        <v>0.99428571428571422</v>
      </c>
      <c r="AF70" s="562">
        <f t="shared" si="112"/>
        <v>901.70432025366654</v>
      </c>
      <c r="AG70" s="545">
        <f t="shared" si="132"/>
        <v>0.10091999999999998</v>
      </c>
      <c r="AI70" s="178">
        <f t="shared" si="133"/>
        <v>0.47756693294091929</v>
      </c>
      <c r="AJ70" s="178">
        <f t="shared" si="134"/>
        <v>0.54178302900107422</v>
      </c>
      <c r="AK70" s="178">
        <f t="shared" si="135"/>
        <v>1.3865059474082031</v>
      </c>
      <c r="AM70" s="562">
        <f t="shared" si="136"/>
        <v>260</v>
      </c>
      <c r="AN70" s="471">
        <f t="shared" si="137"/>
        <v>266.39796594095662</v>
      </c>
      <c r="AP70">
        <f t="shared" si="138"/>
        <v>260</v>
      </c>
      <c r="AQ70">
        <f t="shared" si="139"/>
        <v>266.39796594095662</v>
      </c>
      <c r="AS70" s="5">
        <f t="shared" ref="AS70:AS133" si="164">1/AN70*1000</f>
        <v>3.7537824152217287</v>
      </c>
      <c r="AT70" s="5">
        <f t="shared" si="140"/>
        <v>1.8962406015037598</v>
      </c>
      <c r="AU70" s="5">
        <f t="shared" ref="AU70:AU105" si="165">AS70-AT70</f>
        <v>1.8575418137179689</v>
      </c>
      <c r="AV70" s="5">
        <f t="shared" si="141"/>
        <v>1.8575418137179689</v>
      </c>
      <c r="AW70" s="178">
        <f t="shared" ref="AW70:AW105" si="166">AT70/AS70</f>
        <v>0.50515463917525771</v>
      </c>
      <c r="AX70" s="178">
        <f t="shared" si="142"/>
        <v>3.2842105263157899</v>
      </c>
      <c r="AY70" s="178">
        <f t="shared" si="143"/>
        <v>0.26809881847475842</v>
      </c>
      <c r="AZ70" s="178">
        <f t="shared" ref="AZ70:AZ133" si="167">AX70/AY70</f>
        <v>12.249999999999998</v>
      </c>
      <c r="BA70" s="471">
        <f t="shared" si="144"/>
        <v>4.1085213032581462</v>
      </c>
      <c r="BB70" s="5">
        <f t="shared" si="145"/>
        <v>0.21182494366959295</v>
      </c>
      <c r="BC70" s="5"/>
      <c r="BD70" s="178">
        <f t="shared" ref="BD70:BD133" si="168">AJ70*SQRT(AW70/3)</f>
        <v>0.22231918538347448</v>
      </c>
      <c r="BE70" s="178">
        <f t="shared" si="146"/>
        <v>0.44007785666457361</v>
      </c>
      <c r="BF70" s="178"/>
      <c r="BG70" s="545">
        <f t="shared" si="147"/>
        <v>1.7299037066350092E-2</v>
      </c>
      <c r="BH70" s="545">
        <f t="shared" si="148"/>
        <v>5.2499999999999998E-2</v>
      </c>
      <c r="BI70" s="545">
        <f t="shared" si="149"/>
        <v>3.3299745742619577E-3</v>
      </c>
      <c r="BJ70" s="545">
        <f t="shared" si="150"/>
        <v>3.1331730769230758E-2</v>
      </c>
      <c r="BK70">
        <f t="shared" si="151"/>
        <v>6.96E-3</v>
      </c>
      <c r="BL70" s="545">
        <f t="shared" si="152"/>
        <v>0.11209263872762502</v>
      </c>
      <c r="BM70" s="471">
        <f t="shared" ref="BM70:BM105" si="169">BL70*1000</f>
        <v>112.09263872762503</v>
      </c>
      <c r="BN70" s="545">
        <f t="shared" si="153"/>
        <v>7.8E-2</v>
      </c>
      <c r="BO70" s="545"/>
      <c r="BQ70" s="471">
        <f t="shared" ref="BQ70:BQ105" si="170">SUM(BN70:BP70)*1000</f>
        <v>78</v>
      </c>
      <c r="BR70" s="545">
        <f t="shared" si="154"/>
        <v>4.6954529180093111E-3</v>
      </c>
      <c r="BS70" s="545">
        <f t="shared" si="155"/>
        <v>1.7430166793383647E-2</v>
      </c>
      <c r="BT70" s="545">
        <f t="shared" si="156"/>
        <v>1.2512980214660074E-2</v>
      </c>
      <c r="BU70" s="545">
        <f t="shared" si="157"/>
        <v>3.470002068298176E-2</v>
      </c>
      <c r="BV70" s="545">
        <f t="shared" si="158"/>
        <v>1.7593984962406023E-2</v>
      </c>
      <c r="BW70" s="471">
        <f t="shared" ref="BW70:BW105" si="171">1000*(BU70+BV70)</f>
        <v>52.294005645387784</v>
      </c>
      <c r="BX70" s="178">
        <f t="shared" ref="BX70:BX105" si="172">SUM(BL70,BN70:BP70,BU70, BV70)</f>
        <v>0.2423866443730128</v>
      </c>
      <c r="BY70" s="5">
        <f t="shared" ref="BY70:BY105" si="173">MIN(H70,O70)</f>
        <v>3.12</v>
      </c>
      <c r="BZ70" s="178">
        <f t="shared" ref="BZ70:BZ105" si="174">BY70/(BY70+BX70)</f>
        <v>0.92791232240389443</v>
      </c>
      <c r="CA70" s="5">
        <f t="shared" ref="CA70:CA105" si="175">BZ70*100</f>
        <v>92.791232240389448</v>
      </c>
      <c r="CD70" s="580">
        <f t="shared" si="159"/>
        <v>-50</v>
      </c>
      <c r="CE70">
        <f t="shared" si="160"/>
        <v>-50</v>
      </c>
    </row>
    <row r="71" spans="5:83" x14ac:dyDescent="0.2">
      <c r="E71" s="175">
        <v>66</v>
      </c>
      <c r="F71" s="222">
        <f t="shared" si="161"/>
        <v>0.26400000000000001</v>
      </c>
      <c r="G71" s="222"/>
      <c r="H71" s="222">
        <f t="shared" si="113"/>
        <v>3.1680000000000001</v>
      </c>
      <c r="I71" s="558">
        <f t="shared" si="114"/>
        <v>24</v>
      </c>
      <c r="J71" s="177">
        <f t="shared" si="115"/>
        <v>24.5</v>
      </c>
      <c r="K71" s="453">
        <f t="shared" si="116"/>
        <v>48.5</v>
      </c>
      <c r="L71" s="453"/>
      <c r="M71" s="222">
        <f t="shared" si="117"/>
        <v>0.50515463917525771</v>
      </c>
      <c r="N71" s="177">
        <f t="shared" si="118"/>
        <v>8.3502061855670089</v>
      </c>
      <c r="O71" s="177">
        <f t="shared" si="162"/>
        <v>3.1680000000000001</v>
      </c>
      <c r="P71" s="222">
        <f t="shared" si="119"/>
        <v>0.69585051546391741</v>
      </c>
      <c r="Q71" s="222">
        <f t="shared" si="120"/>
        <v>12</v>
      </c>
      <c r="R71" s="222">
        <f t="shared" si="121"/>
        <v>0.73247422680412366</v>
      </c>
      <c r="S71" s="177">
        <f t="shared" si="122"/>
        <v>50.67254936068116</v>
      </c>
      <c r="T71" s="177">
        <f t="shared" si="123"/>
        <v>12</v>
      </c>
      <c r="U71" s="222">
        <f t="shared" si="124"/>
        <v>0.55011815252416763</v>
      </c>
      <c r="V71" s="222">
        <f t="shared" si="125"/>
        <v>1.9254135338345864</v>
      </c>
      <c r="W71" s="222">
        <f t="shared" si="126"/>
        <v>1.8861193800828602</v>
      </c>
      <c r="X71" s="202">
        <f t="shared" si="127"/>
        <v>350</v>
      </c>
      <c r="Y71" s="453">
        <f t="shared" si="163"/>
        <v>262.36163312366949</v>
      </c>
      <c r="AA71" s="222">
        <f t="shared" si="128"/>
        <v>0.41237113402061859</v>
      </c>
      <c r="AB71" s="178">
        <f t="shared" si="129"/>
        <v>1.4138438880706923</v>
      </c>
      <c r="AC71" s="178">
        <f t="shared" si="130"/>
        <v>0.20405994260814117</v>
      </c>
      <c r="AD71" s="178"/>
      <c r="AE71" s="178">
        <f t="shared" si="131"/>
        <v>0.99428571428571422</v>
      </c>
      <c r="AF71" s="562">
        <f t="shared" si="112"/>
        <v>915.57669441141525</v>
      </c>
      <c r="AG71" s="545">
        <f t="shared" si="132"/>
        <v>0.10091999999999998</v>
      </c>
      <c r="AI71" s="178">
        <f t="shared" si="133"/>
        <v>0.48122650318578786</v>
      </c>
      <c r="AJ71" s="178">
        <f t="shared" si="134"/>
        <v>0.55011815252416763</v>
      </c>
      <c r="AK71" s="178">
        <f t="shared" si="135"/>
        <v>1.3926801129808648</v>
      </c>
      <c r="AM71" s="562">
        <f t="shared" si="136"/>
        <v>264</v>
      </c>
      <c r="AN71" s="471">
        <f t="shared" si="137"/>
        <v>262.36163312366949</v>
      </c>
      <c r="AP71">
        <f t="shared" si="138"/>
        <v>264</v>
      </c>
      <c r="AQ71">
        <f t="shared" si="139"/>
        <v>262.36163312366949</v>
      </c>
      <c r="AS71" s="5">
        <f t="shared" si="164"/>
        <v>3.8115329139174463</v>
      </c>
      <c r="AT71" s="5">
        <f t="shared" si="140"/>
        <v>1.9254135338345864</v>
      </c>
      <c r="AU71" s="5">
        <f t="shared" si="165"/>
        <v>1.88611938008286</v>
      </c>
      <c r="AV71" s="5">
        <f t="shared" si="141"/>
        <v>1.8861193800828602</v>
      </c>
      <c r="AW71" s="178">
        <f t="shared" si="166"/>
        <v>0.50515463917525771</v>
      </c>
      <c r="AX71" s="178">
        <f t="shared" si="142"/>
        <v>3.3347368421052641</v>
      </c>
      <c r="AY71" s="178">
        <f t="shared" si="143"/>
        <v>0.27222341568206232</v>
      </c>
      <c r="AZ71" s="178">
        <f t="shared" si="167"/>
        <v>12.250000000000002</v>
      </c>
      <c r="BA71" s="471">
        <f t="shared" si="144"/>
        <v>4.2359097744360898</v>
      </c>
      <c r="BB71" s="5">
        <f t="shared" si="145"/>
        <v>0.21839277032538382</v>
      </c>
      <c r="BC71" s="5"/>
      <c r="BD71" s="178">
        <f t="shared" si="168"/>
        <v>0.22573948054322021</v>
      </c>
      <c r="BE71" s="178">
        <f t="shared" si="146"/>
        <v>0.44684828522864395</v>
      </c>
      <c r="BF71" s="178"/>
      <c r="BG71" s="545">
        <f t="shared" si="147"/>
        <v>1.7835409576573012E-2</v>
      </c>
      <c r="BH71" s="545">
        <f t="shared" si="148"/>
        <v>5.2500000000000012E-2</v>
      </c>
      <c r="BI71" s="545">
        <f t="shared" si="149"/>
        <v>3.2795204140458685E-3</v>
      </c>
      <c r="BJ71" s="545">
        <f t="shared" si="150"/>
        <v>3.0857007575757579E-2</v>
      </c>
      <c r="BK71">
        <f t="shared" si="151"/>
        <v>6.96E-3</v>
      </c>
      <c r="BL71" s="545">
        <f t="shared" si="152"/>
        <v>0.11212486580809955</v>
      </c>
      <c r="BM71" s="471">
        <f t="shared" si="169"/>
        <v>112.12486580809954</v>
      </c>
      <c r="BN71" s="545">
        <f t="shared" si="153"/>
        <v>7.9200000000000007E-2</v>
      </c>
      <c r="BO71" s="545"/>
      <c r="BQ71" s="471">
        <f t="shared" si="170"/>
        <v>79.2</v>
      </c>
      <c r="BR71" s="545">
        <f t="shared" si="154"/>
        <v>4.8410397422126751E-3</v>
      </c>
      <c r="BS71" s="545">
        <f t="shared" si="155"/>
        <v>1.7970605101060157E-2</v>
      </c>
      <c r="BT71" s="545">
        <f t="shared" si="156"/>
        <v>1.251298021466008E-2</v>
      </c>
      <c r="BU71" s="545">
        <f t="shared" si="157"/>
        <v>3.5389207941360357E-2</v>
      </c>
      <c r="BV71" s="545">
        <f t="shared" si="158"/>
        <v>1.7864661654135347E-2</v>
      </c>
      <c r="BW71" s="471">
        <f t="shared" si="171"/>
        <v>53.253869595495701</v>
      </c>
      <c r="BX71" s="178">
        <f t="shared" si="172"/>
        <v>0.24457873540359526</v>
      </c>
      <c r="BY71" s="5">
        <f t="shared" si="173"/>
        <v>3.1680000000000001</v>
      </c>
      <c r="BZ71" s="178">
        <f t="shared" si="174"/>
        <v>0.9283302293171356</v>
      </c>
      <c r="CA71" s="5">
        <f t="shared" si="175"/>
        <v>92.833022931713558</v>
      </c>
      <c r="CD71" s="580">
        <f t="shared" si="159"/>
        <v>-50</v>
      </c>
      <c r="CE71">
        <f t="shared" si="160"/>
        <v>-50</v>
      </c>
    </row>
    <row r="72" spans="5:83" x14ac:dyDescent="0.2">
      <c r="E72" s="175">
        <v>67</v>
      </c>
      <c r="F72" s="222">
        <f t="shared" si="161"/>
        <v>0.26800000000000002</v>
      </c>
      <c r="G72" s="222"/>
      <c r="H72" s="222">
        <f t="shared" si="113"/>
        <v>3.2160000000000002</v>
      </c>
      <c r="I72" s="558">
        <f t="shared" si="114"/>
        <v>24</v>
      </c>
      <c r="J72" s="177">
        <f t="shared" si="115"/>
        <v>24.5</v>
      </c>
      <c r="K72" s="453">
        <f t="shared" si="116"/>
        <v>48.5</v>
      </c>
      <c r="L72" s="453"/>
      <c r="M72" s="222">
        <f t="shared" si="117"/>
        <v>0.50515463917525771</v>
      </c>
      <c r="N72" s="177">
        <f t="shared" si="118"/>
        <v>8.3502061855670089</v>
      </c>
      <c r="O72" s="177">
        <f t="shared" si="162"/>
        <v>3.2160000000000002</v>
      </c>
      <c r="P72" s="222">
        <f t="shared" si="119"/>
        <v>0.69585051546391741</v>
      </c>
      <c r="Q72" s="222">
        <f t="shared" si="120"/>
        <v>12</v>
      </c>
      <c r="R72" s="222">
        <f t="shared" si="121"/>
        <v>0.73247422680412366</v>
      </c>
      <c r="S72" s="177">
        <f t="shared" si="122"/>
        <v>49.739117539407538</v>
      </c>
      <c r="T72" s="177">
        <f t="shared" si="123"/>
        <v>12</v>
      </c>
      <c r="U72" s="222">
        <f t="shared" si="124"/>
        <v>0.55845327604726114</v>
      </c>
      <c r="V72" s="222">
        <f t="shared" si="125"/>
        <v>1.9545864661654138</v>
      </c>
      <c r="W72" s="222">
        <f t="shared" si="126"/>
        <v>1.9146969464477523</v>
      </c>
      <c r="X72" s="202">
        <f t="shared" si="127"/>
        <v>350</v>
      </c>
      <c r="Y72" s="453">
        <f t="shared" si="163"/>
        <v>258.44578785316691</v>
      </c>
      <c r="AA72" s="222">
        <f t="shared" si="128"/>
        <v>0.41237113402061859</v>
      </c>
      <c r="AB72" s="178">
        <f t="shared" si="129"/>
        <v>1.4138438880706923</v>
      </c>
      <c r="AC72" s="178">
        <f t="shared" si="130"/>
        <v>0.20405994260814117</v>
      </c>
      <c r="AD72" s="178"/>
      <c r="AE72" s="178">
        <f t="shared" si="131"/>
        <v>0.99428571428571422</v>
      </c>
      <c r="AF72" s="562">
        <f t="shared" ref="AF72:AF103" si="176">MAX(10000,F72/(0.5*AE72/1000000*Isw_min*Nps))/1000</f>
        <v>929.44906856916407</v>
      </c>
      <c r="AG72" s="545">
        <f t="shared" si="132"/>
        <v>0.10091999999999998</v>
      </c>
      <c r="AI72" s="178">
        <f t="shared" si="133"/>
        <v>0.4848584528480922</v>
      </c>
      <c r="AJ72" s="178">
        <f t="shared" si="134"/>
        <v>0.55845327604726114</v>
      </c>
      <c r="AK72" s="178">
        <f t="shared" si="135"/>
        <v>1.3988542785535267</v>
      </c>
      <c r="AM72" s="562">
        <f t="shared" si="136"/>
        <v>268</v>
      </c>
      <c r="AN72" s="471">
        <f t="shared" si="137"/>
        <v>258.44578785316691</v>
      </c>
      <c r="AP72">
        <f t="shared" si="138"/>
        <v>268</v>
      </c>
      <c r="AQ72">
        <f t="shared" si="139"/>
        <v>258.44578785316691</v>
      </c>
      <c r="AS72" s="5">
        <f t="shared" si="164"/>
        <v>3.8692834126131661</v>
      </c>
      <c r="AT72" s="5">
        <f t="shared" si="140"/>
        <v>1.9545864661654138</v>
      </c>
      <c r="AU72" s="5">
        <f t="shared" si="165"/>
        <v>1.9146969464477523</v>
      </c>
      <c r="AV72" s="5">
        <f t="shared" si="141"/>
        <v>1.9146969464477523</v>
      </c>
      <c r="AW72" s="178">
        <f t="shared" si="166"/>
        <v>0.50515463917525771</v>
      </c>
      <c r="AX72" s="178">
        <f t="shared" si="142"/>
        <v>3.3852631578947374</v>
      </c>
      <c r="AY72" s="178">
        <f t="shared" si="143"/>
        <v>0.27634801288936633</v>
      </c>
      <c r="AZ72" s="178">
        <f t="shared" si="167"/>
        <v>12.25</v>
      </c>
      <c r="BA72" s="471">
        <f t="shared" si="144"/>
        <v>4.365243107769424</v>
      </c>
      <c r="BB72" s="5">
        <f t="shared" si="145"/>
        <v>0.22506086914385864</v>
      </c>
      <c r="BC72" s="5"/>
      <c r="BD72" s="178">
        <f t="shared" si="168"/>
        <v>0.229159775702966</v>
      </c>
      <c r="BE72" s="178">
        <f t="shared" si="146"/>
        <v>0.45361871379271435</v>
      </c>
      <c r="BF72" s="178"/>
      <c r="BG72" s="545">
        <f t="shared" si="147"/>
        <v>1.8379970980081789E-2</v>
      </c>
      <c r="BH72" s="545">
        <f t="shared" si="148"/>
        <v>5.2499999999999998E-2</v>
      </c>
      <c r="BI72" s="545">
        <f t="shared" si="149"/>
        <v>3.2305723481645863E-3</v>
      </c>
      <c r="BJ72" s="545">
        <f t="shared" si="150"/>
        <v>3.0396455223880597E-2</v>
      </c>
      <c r="BK72">
        <f t="shared" si="151"/>
        <v>6.96E-3</v>
      </c>
      <c r="BL72" s="545">
        <f t="shared" si="152"/>
        <v>0.11218144402119193</v>
      </c>
      <c r="BM72" s="471">
        <f t="shared" si="169"/>
        <v>112.18144402119192</v>
      </c>
      <c r="BN72" s="545">
        <f t="shared" si="153"/>
        <v>8.0399999999999999E-2</v>
      </c>
      <c r="BO72" s="545"/>
      <c r="BQ72" s="471">
        <f t="shared" si="170"/>
        <v>80.400000000000006</v>
      </c>
      <c r="BR72" s="545">
        <f t="shared" si="154"/>
        <v>4.9888492660222E-3</v>
      </c>
      <c r="BS72" s="545">
        <f t="shared" si="155"/>
        <v>1.8519294375266084E-2</v>
      </c>
      <c r="BT72" s="545">
        <f t="shared" si="156"/>
        <v>1.2512980214660078E-2</v>
      </c>
      <c r="BU72" s="545">
        <f t="shared" si="157"/>
        <v>3.6088994677608434E-2</v>
      </c>
      <c r="BV72" s="545">
        <f t="shared" si="158"/>
        <v>1.8135338345864671E-2</v>
      </c>
      <c r="BW72" s="471">
        <f t="shared" si="171"/>
        <v>54.224333023473108</v>
      </c>
      <c r="BX72" s="178">
        <f t="shared" si="172"/>
        <v>0.24680577704466503</v>
      </c>
      <c r="BY72" s="5">
        <f t="shared" si="173"/>
        <v>3.2160000000000002</v>
      </c>
      <c r="BZ72" s="178">
        <f t="shared" si="174"/>
        <v>0.92872664742540023</v>
      </c>
      <c r="CA72" s="5">
        <f t="shared" si="175"/>
        <v>92.872664742540024</v>
      </c>
      <c r="CD72" s="580">
        <f t="shared" si="159"/>
        <v>-50</v>
      </c>
      <c r="CE72">
        <f t="shared" si="160"/>
        <v>-50</v>
      </c>
    </row>
    <row r="73" spans="5:83" x14ac:dyDescent="0.2">
      <c r="E73" s="175">
        <v>68</v>
      </c>
      <c r="F73" s="222">
        <f t="shared" si="161"/>
        <v>0.27200000000000002</v>
      </c>
      <c r="G73" s="222"/>
      <c r="H73" s="222">
        <f t="shared" si="113"/>
        <v>3.2640000000000002</v>
      </c>
      <c r="I73" s="558">
        <f t="shared" si="114"/>
        <v>24</v>
      </c>
      <c r="J73" s="177">
        <f t="shared" si="115"/>
        <v>24.5</v>
      </c>
      <c r="K73" s="453">
        <f t="shared" si="116"/>
        <v>48.5</v>
      </c>
      <c r="L73" s="453"/>
      <c r="M73" s="222">
        <f t="shared" si="117"/>
        <v>0.50515463917525771</v>
      </c>
      <c r="N73" s="177">
        <f t="shared" si="118"/>
        <v>8.3502061855670089</v>
      </c>
      <c r="O73" s="177">
        <f t="shared" si="162"/>
        <v>3.2640000000000002</v>
      </c>
      <c r="P73" s="222">
        <f t="shared" si="119"/>
        <v>0.69585051546391741</v>
      </c>
      <c r="Q73" s="222">
        <f t="shared" si="120"/>
        <v>12</v>
      </c>
      <c r="R73" s="222">
        <f t="shared" si="121"/>
        <v>0.73247422680412366</v>
      </c>
      <c r="S73" s="177">
        <f t="shared" si="122"/>
        <v>48.833179558310576</v>
      </c>
      <c r="T73" s="177">
        <f t="shared" si="123"/>
        <v>12</v>
      </c>
      <c r="U73" s="222">
        <f t="shared" si="124"/>
        <v>0.56678839957035454</v>
      </c>
      <c r="V73" s="222">
        <f t="shared" si="125"/>
        <v>1.9837593984962409</v>
      </c>
      <c r="W73" s="222">
        <f t="shared" si="126"/>
        <v>1.9432745128126443</v>
      </c>
      <c r="X73" s="202">
        <f t="shared" si="127"/>
        <v>350</v>
      </c>
      <c r="Y73" s="453">
        <f t="shared" si="163"/>
        <v>254.64511450238504</v>
      </c>
      <c r="AA73" s="222">
        <f t="shared" si="128"/>
        <v>0.41237113402061859</v>
      </c>
      <c r="AB73" s="178">
        <f t="shared" si="129"/>
        <v>1.4138438880706923</v>
      </c>
      <c r="AC73" s="178">
        <f t="shared" si="130"/>
        <v>0.20405994260814117</v>
      </c>
      <c r="AD73" s="178"/>
      <c r="AE73" s="178">
        <f t="shared" si="131"/>
        <v>0.99428571428571422</v>
      </c>
      <c r="AF73" s="562">
        <f t="shared" si="176"/>
        <v>943.32144272691266</v>
      </c>
      <c r="AG73" s="545">
        <f t="shared" si="132"/>
        <v>0.10091999999999998</v>
      </c>
      <c r="AI73" s="178">
        <f t="shared" si="133"/>
        <v>0.48846339804336436</v>
      </c>
      <c r="AJ73" s="178">
        <f t="shared" si="134"/>
        <v>0.56678839957035454</v>
      </c>
      <c r="AK73" s="178">
        <f t="shared" si="135"/>
        <v>1.4050284441261884</v>
      </c>
      <c r="AM73" s="562">
        <f t="shared" si="136"/>
        <v>272</v>
      </c>
      <c r="AN73" s="471">
        <f t="shared" si="137"/>
        <v>254.64511450238504</v>
      </c>
      <c r="AP73">
        <f t="shared" si="138"/>
        <v>272</v>
      </c>
      <c r="AQ73">
        <f t="shared" si="139"/>
        <v>254.64511450238504</v>
      </c>
      <c r="AS73" s="5">
        <f t="shared" si="164"/>
        <v>3.927033911308885</v>
      </c>
      <c r="AT73" s="5">
        <f t="shared" si="140"/>
        <v>1.9837593984962409</v>
      </c>
      <c r="AU73" s="5">
        <f t="shared" si="165"/>
        <v>1.9432745128126441</v>
      </c>
      <c r="AV73" s="5">
        <f t="shared" si="141"/>
        <v>1.9432745128126443</v>
      </c>
      <c r="AW73" s="178">
        <f t="shared" si="166"/>
        <v>0.50515463917525771</v>
      </c>
      <c r="AX73" s="178">
        <f t="shared" si="142"/>
        <v>3.4357894736842112</v>
      </c>
      <c r="AY73" s="178">
        <f t="shared" si="143"/>
        <v>0.28047261009667029</v>
      </c>
      <c r="AZ73" s="178">
        <f t="shared" si="167"/>
        <v>12.25</v>
      </c>
      <c r="BA73" s="471">
        <f t="shared" si="144"/>
        <v>4.496521303258147</v>
      </c>
      <c r="BB73" s="5">
        <f t="shared" si="145"/>
        <v>0.23182924012501716</v>
      </c>
      <c r="BC73" s="5"/>
      <c r="BD73" s="178">
        <f t="shared" si="168"/>
        <v>0.23258007086271174</v>
      </c>
      <c r="BE73" s="178">
        <f t="shared" si="146"/>
        <v>0.46038914235678469</v>
      </c>
      <c r="BF73" s="178"/>
      <c r="BG73" s="545">
        <f t="shared" si="147"/>
        <v>1.8932721276876403E-2</v>
      </c>
      <c r="BH73" s="545">
        <f t="shared" si="148"/>
        <v>5.2499999999999998E-2</v>
      </c>
      <c r="BI73" s="545">
        <f t="shared" si="149"/>
        <v>3.1830639312798127E-3</v>
      </c>
      <c r="BJ73" s="545">
        <f t="shared" si="150"/>
        <v>2.9949448529411764E-2</v>
      </c>
      <c r="BK73">
        <f t="shared" si="151"/>
        <v>6.96E-3</v>
      </c>
      <c r="BL73" s="545">
        <f t="shared" si="152"/>
        <v>0.11226169153049878</v>
      </c>
      <c r="BM73" s="471">
        <f t="shared" si="169"/>
        <v>112.26169153049878</v>
      </c>
      <c r="BN73" s="545">
        <f t="shared" si="153"/>
        <v>8.1600000000000006E-2</v>
      </c>
      <c r="BO73" s="545"/>
      <c r="BQ73" s="471">
        <f t="shared" si="170"/>
        <v>81.600000000000009</v>
      </c>
      <c r="BR73" s="545">
        <f t="shared" si="154"/>
        <v>5.1388814894378814E-3</v>
      </c>
      <c r="BS73" s="545">
        <f t="shared" si="155"/>
        <v>1.9076234616001417E-2</v>
      </c>
      <c r="BT73" s="545">
        <f t="shared" si="156"/>
        <v>1.2512980214660074E-2</v>
      </c>
      <c r="BU73" s="545">
        <f t="shared" si="157"/>
        <v>3.679938442942475E-2</v>
      </c>
      <c r="BV73" s="545">
        <f t="shared" si="158"/>
        <v>1.8406015037593988E-2</v>
      </c>
      <c r="BW73" s="471">
        <f t="shared" si="171"/>
        <v>55.205399467018736</v>
      </c>
      <c r="BX73" s="178">
        <f t="shared" si="172"/>
        <v>0.2490670909975175</v>
      </c>
      <c r="BY73" s="5">
        <f t="shared" si="173"/>
        <v>3.2640000000000002</v>
      </c>
      <c r="BZ73" s="178">
        <f t="shared" si="174"/>
        <v>0.92910266597647118</v>
      </c>
      <c r="CA73" s="5">
        <f t="shared" si="175"/>
        <v>92.910266597647123</v>
      </c>
      <c r="CD73" s="580">
        <f t="shared" si="159"/>
        <v>-50</v>
      </c>
      <c r="CE73">
        <f t="shared" si="160"/>
        <v>-50</v>
      </c>
    </row>
    <row r="74" spans="5:83" x14ac:dyDescent="0.2">
      <c r="E74" s="175">
        <v>69</v>
      </c>
      <c r="F74" s="222">
        <f t="shared" si="161"/>
        <v>0.27599999999999997</v>
      </c>
      <c r="G74" s="222"/>
      <c r="H74" s="222">
        <f t="shared" si="113"/>
        <v>3.3119999999999994</v>
      </c>
      <c r="I74" s="558">
        <f t="shared" si="114"/>
        <v>24</v>
      </c>
      <c r="J74" s="177">
        <f t="shared" si="115"/>
        <v>24.5</v>
      </c>
      <c r="K74" s="453">
        <f t="shared" si="116"/>
        <v>48.5</v>
      </c>
      <c r="L74" s="453"/>
      <c r="M74" s="222">
        <f t="shared" si="117"/>
        <v>0.50515463917525771</v>
      </c>
      <c r="N74" s="177">
        <f t="shared" si="118"/>
        <v>8.3502061855670089</v>
      </c>
      <c r="O74" s="177">
        <f t="shared" si="162"/>
        <v>3.3119999999999994</v>
      </c>
      <c r="P74" s="222">
        <f t="shared" si="119"/>
        <v>0.69585051546391741</v>
      </c>
      <c r="Q74" s="222">
        <f t="shared" si="120"/>
        <v>12</v>
      </c>
      <c r="R74" s="222">
        <f t="shared" si="121"/>
        <v>0.73247422680412366</v>
      </c>
      <c r="S74" s="177">
        <f t="shared" si="122"/>
        <v>47.953540440291448</v>
      </c>
      <c r="T74" s="177">
        <f t="shared" si="123"/>
        <v>12</v>
      </c>
      <c r="U74" s="222">
        <f t="shared" si="124"/>
        <v>0.57512352309344794</v>
      </c>
      <c r="V74" s="222">
        <f t="shared" si="125"/>
        <v>2.0129323308270681</v>
      </c>
      <c r="W74" s="222">
        <f t="shared" si="126"/>
        <v>1.9718520791775356</v>
      </c>
      <c r="X74" s="202">
        <f t="shared" si="127"/>
        <v>350</v>
      </c>
      <c r="Y74" s="453">
        <f t="shared" si="163"/>
        <v>250.95460559655336</v>
      </c>
      <c r="AA74" s="222">
        <f t="shared" si="128"/>
        <v>0.41237113402061859</v>
      </c>
      <c r="AB74" s="178">
        <f t="shared" si="129"/>
        <v>1.4138438880706923</v>
      </c>
      <c r="AC74" s="178">
        <f t="shared" si="130"/>
        <v>0.20405994260814117</v>
      </c>
      <c r="AD74" s="178"/>
      <c r="AE74" s="178">
        <f t="shared" si="131"/>
        <v>0.99428571428571422</v>
      </c>
      <c r="AF74" s="562">
        <f t="shared" si="176"/>
        <v>957.19381688466126</v>
      </c>
      <c r="AG74" s="545">
        <f t="shared" si="132"/>
        <v>0.10091999999999998</v>
      </c>
      <c r="AI74" s="178">
        <f t="shared" si="133"/>
        <v>0.49204193231664184</v>
      </c>
      <c r="AJ74" s="178">
        <f t="shared" si="134"/>
        <v>0.57512352309344794</v>
      </c>
      <c r="AK74" s="178">
        <f t="shared" si="135"/>
        <v>1.4112026096988504</v>
      </c>
      <c r="AM74" s="562">
        <f t="shared" si="136"/>
        <v>275.99999999999994</v>
      </c>
      <c r="AN74" s="471">
        <f t="shared" si="137"/>
        <v>250.95460559655336</v>
      </c>
      <c r="AP74">
        <f t="shared" si="138"/>
        <v>275.99999999999994</v>
      </c>
      <c r="AQ74">
        <f t="shared" si="139"/>
        <v>250.95460559655336</v>
      </c>
      <c r="AS74" s="5">
        <f t="shared" si="164"/>
        <v>3.9847844100046039</v>
      </c>
      <c r="AT74" s="5">
        <f t="shared" si="140"/>
        <v>2.0129323308270681</v>
      </c>
      <c r="AU74" s="5">
        <f t="shared" si="165"/>
        <v>1.9718520791775358</v>
      </c>
      <c r="AV74" s="5">
        <f t="shared" si="141"/>
        <v>1.9718520791775356</v>
      </c>
      <c r="AW74" s="178">
        <f t="shared" si="166"/>
        <v>0.50515463917525782</v>
      </c>
      <c r="AX74" s="178">
        <f t="shared" si="142"/>
        <v>3.4863157894736836</v>
      </c>
      <c r="AY74" s="178">
        <f t="shared" si="143"/>
        <v>0.2845972073039742</v>
      </c>
      <c r="AZ74" s="178">
        <f t="shared" si="167"/>
        <v>12.249999999999998</v>
      </c>
      <c r="BA74" s="471">
        <f t="shared" si="144"/>
        <v>4.6297443609022562</v>
      </c>
      <c r="BB74" s="5">
        <f t="shared" si="145"/>
        <v>0.23869788326885952</v>
      </c>
      <c r="BC74" s="5"/>
      <c r="BD74" s="178">
        <f t="shared" si="168"/>
        <v>0.23600036602245753</v>
      </c>
      <c r="BE74" s="178">
        <f t="shared" si="146"/>
        <v>0.46715957092085492</v>
      </c>
      <c r="BF74" s="178"/>
      <c r="BG74" s="545">
        <f t="shared" si="147"/>
        <v>1.9493660466956872E-2</v>
      </c>
      <c r="BH74" s="545">
        <f t="shared" si="148"/>
        <v>5.2499999999999991E-2</v>
      </c>
      <c r="BI74" s="545">
        <f t="shared" si="149"/>
        <v>3.1369325699569166E-3</v>
      </c>
      <c r="BJ74" s="545">
        <f t="shared" si="150"/>
        <v>2.9515398550724634E-2</v>
      </c>
      <c r="BK74">
        <f t="shared" si="151"/>
        <v>6.96E-3</v>
      </c>
      <c r="BL74" s="545">
        <f t="shared" si="152"/>
        <v>0.11236496675042747</v>
      </c>
      <c r="BM74" s="471">
        <f t="shared" si="169"/>
        <v>112.36496675042747</v>
      </c>
      <c r="BN74" s="545">
        <f t="shared" si="153"/>
        <v>8.2799999999999985E-2</v>
      </c>
      <c r="BO74" s="545"/>
      <c r="BQ74" s="471">
        <f t="shared" si="170"/>
        <v>82.799999999999983</v>
      </c>
      <c r="BR74" s="545">
        <f t="shared" si="154"/>
        <v>5.2911364124597227E-3</v>
      </c>
      <c r="BS74" s="545">
        <f t="shared" si="155"/>
        <v>1.9641425823266154E-2</v>
      </c>
      <c r="BT74" s="545">
        <f t="shared" si="156"/>
        <v>1.2512980214660081E-2</v>
      </c>
      <c r="BU74" s="545">
        <f t="shared" si="157"/>
        <v>3.7520380788715779E-2</v>
      </c>
      <c r="BV74" s="545">
        <f t="shared" si="158"/>
        <v>1.8676691729323309E-2</v>
      </c>
      <c r="BW74" s="471">
        <f t="shared" si="171"/>
        <v>56.197072518039086</v>
      </c>
      <c r="BX74" s="178">
        <f t="shared" si="172"/>
        <v>0.25136203926846651</v>
      </c>
      <c r="BY74" s="5">
        <f t="shared" si="173"/>
        <v>3.3119999999999994</v>
      </c>
      <c r="BZ74" s="178">
        <f t="shared" si="174"/>
        <v>0.92945930374224073</v>
      </c>
      <c r="CA74" s="5">
        <f t="shared" si="175"/>
        <v>92.945930374224076</v>
      </c>
      <c r="CD74" s="580">
        <f t="shared" si="159"/>
        <v>-50</v>
      </c>
      <c r="CE74">
        <f t="shared" si="160"/>
        <v>-50</v>
      </c>
    </row>
    <row r="75" spans="5:83" x14ac:dyDescent="0.2">
      <c r="E75" s="175">
        <v>70</v>
      </c>
      <c r="F75" s="222">
        <f t="shared" si="161"/>
        <v>0.27999999999999997</v>
      </c>
      <c r="G75" s="222"/>
      <c r="H75" s="222">
        <f t="shared" si="113"/>
        <v>3.3599999999999994</v>
      </c>
      <c r="I75" s="558">
        <f t="shared" si="114"/>
        <v>24</v>
      </c>
      <c r="J75" s="177">
        <f t="shared" si="115"/>
        <v>24.5</v>
      </c>
      <c r="K75" s="453">
        <f t="shared" si="116"/>
        <v>48.5</v>
      </c>
      <c r="L75" s="453"/>
      <c r="M75" s="222">
        <f t="shared" si="117"/>
        <v>0.50515463917525771</v>
      </c>
      <c r="N75" s="177">
        <f t="shared" si="118"/>
        <v>8.3502061855670089</v>
      </c>
      <c r="O75" s="177">
        <f t="shared" si="162"/>
        <v>3.3599999999999994</v>
      </c>
      <c r="P75" s="222">
        <f t="shared" si="119"/>
        <v>0.69585051546391741</v>
      </c>
      <c r="Q75" s="222">
        <f t="shared" si="120"/>
        <v>12</v>
      </c>
      <c r="R75" s="222">
        <f t="shared" si="121"/>
        <v>0.73247422680412366</v>
      </c>
      <c r="S75" s="177">
        <f t="shared" si="122"/>
        <v>47.099073498014938</v>
      </c>
      <c r="T75" s="177">
        <f t="shared" si="123"/>
        <v>12</v>
      </c>
      <c r="U75" s="222">
        <f t="shared" si="124"/>
        <v>0.58345864661654134</v>
      </c>
      <c r="V75" s="222">
        <f t="shared" si="125"/>
        <v>2.0421052631578944</v>
      </c>
      <c r="W75" s="222">
        <f t="shared" si="126"/>
        <v>2.0004296455424275</v>
      </c>
      <c r="X75" s="202">
        <f t="shared" si="127"/>
        <v>350</v>
      </c>
      <c r="Y75" s="453">
        <f t="shared" si="163"/>
        <v>247.36953980231692</v>
      </c>
      <c r="AA75" s="222">
        <f t="shared" si="128"/>
        <v>0.41237113402061859</v>
      </c>
      <c r="AB75" s="178">
        <f t="shared" si="129"/>
        <v>1.4138438880706923</v>
      </c>
      <c r="AC75" s="178">
        <f t="shared" si="130"/>
        <v>0.20405994260814117</v>
      </c>
      <c r="AD75" s="178"/>
      <c r="AE75" s="178">
        <f t="shared" si="131"/>
        <v>0.99428571428571422</v>
      </c>
      <c r="AF75" s="562">
        <f t="shared" si="176"/>
        <v>971.06619104240997</v>
      </c>
      <c r="AG75" s="545">
        <f t="shared" si="132"/>
        <v>0.10091999999999998</v>
      </c>
      <c r="AI75" s="178">
        <f t="shared" si="133"/>
        <v>0.49559462778335206</v>
      </c>
      <c r="AJ75" s="178">
        <f t="shared" si="134"/>
        <v>0.58345864661654134</v>
      </c>
      <c r="AK75" s="178">
        <f t="shared" si="135"/>
        <v>1.4173767752715121</v>
      </c>
      <c r="AM75" s="562">
        <f t="shared" si="136"/>
        <v>279.99999999999994</v>
      </c>
      <c r="AN75" s="471">
        <f t="shared" si="137"/>
        <v>247.36953980231692</v>
      </c>
      <c r="AP75">
        <f t="shared" si="138"/>
        <v>279.99999999999994</v>
      </c>
      <c r="AQ75">
        <f t="shared" si="139"/>
        <v>247.36953980231692</v>
      </c>
      <c r="AS75" s="5">
        <f t="shared" si="164"/>
        <v>4.0425349087003219</v>
      </c>
      <c r="AT75" s="5">
        <f t="shared" si="140"/>
        <v>2.0421052631578944</v>
      </c>
      <c r="AU75" s="5">
        <f t="shared" si="165"/>
        <v>2.0004296455424275</v>
      </c>
      <c r="AV75" s="5">
        <f t="shared" si="141"/>
        <v>2.0004296455424275</v>
      </c>
      <c r="AW75" s="178">
        <f t="shared" si="166"/>
        <v>0.50515463917525771</v>
      </c>
      <c r="AX75" s="178">
        <f t="shared" si="142"/>
        <v>3.5368421052631578</v>
      </c>
      <c r="AY75" s="178">
        <f t="shared" si="143"/>
        <v>0.28872180451127821</v>
      </c>
      <c r="AZ75" s="178">
        <f t="shared" si="167"/>
        <v>12.249999999999998</v>
      </c>
      <c r="BA75" s="471">
        <f t="shared" si="144"/>
        <v>4.7649122807017532</v>
      </c>
      <c r="BB75" s="5">
        <f t="shared" si="145"/>
        <v>0.24566679857538576</v>
      </c>
      <c r="BC75" s="5"/>
      <c r="BD75" s="178">
        <f t="shared" si="168"/>
        <v>0.23942066118220323</v>
      </c>
      <c r="BE75" s="178">
        <f t="shared" si="146"/>
        <v>0.47392999948492531</v>
      </c>
      <c r="BF75" s="178"/>
      <c r="BG75" s="545">
        <f t="shared" si="147"/>
        <v>2.0062788550323174E-2</v>
      </c>
      <c r="BH75" s="545">
        <f t="shared" si="148"/>
        <v>5.2499999999999991E-2</v>
      </c>
      <c r="BI75" s="545">
        <f t="shared" si="149"/>
        <v>3.0921192475289617E-3</v>
      </c>
      <c r="BJ75" s="545">
        <f t="shared" si="150"/>
        <v>2.9093750000000002E-2</v>
      </c>
      <c r="BK75">
        <f t="shared" si="151"/>
        <v>6.96E-3</v>
      </c>
      <c r="BL75" s="545">
        <f t="shared" si="152"/>
        <v>0.11249066548274086</v>
      </c>
      <c r="BM75" s="471">
        <f t="shared" si="169"/>
        <v>112.49066548274087</v>
      </c>
      <c r="BN75" s="545">
        <f t="shared" si="153"/>
        <v>8.3999999999999991E-2</v>
      </c>
      <c r="BO75" s="545"/>
      <c r="BQ75" s="471">
        <f t="shared" si="170"/>
        <v>83.999999999999986</v>
      </c>
      <c r="BR75" s="545">
        <f t="shared" si="154"/>
        <v>5.4456140350877189E-3</v>
      </c>
      <c r="BS75" s="545">
        <f t="shared" si="155"/>
        <v>2.0214867997060317E-2</v>
      </c>
      <c r="BT75" s="545">
        <f t="shared" si="156"/>
        <v>1.2512980214660069E-2</v>
      </c>
      <c r="BU75" s="545">
        <f t="shared" si="157"/>
        <v>3.8251987401641208E-2</v>
      </c>
      <c r="BV75" s="545">
        <f t="shared" si="158"/>
        <v>1.8947368421052629E-2</v>
      </c>
      <c r="BW75" s="471">
        <f t="shared" si="171"/>
        <v>57.199355822693839</v>
      </c>
      <c r="BX75" s="178">
        <f t="shared" si="172"/>
        <v>0.25369002130543472</v>
      </c>
      <c r="BY75" s="5">
        <f t="shared" si="173"/>
        <v>3.3599999999999994</v>
      </c>
      <c r="BZ75" s="178">
        <f t="shared" si="174"/>
        <v>0.92979751450463655</v>
      </c>
      <c r="CA75" s="5">
        <f t="shared" si="175"/>
        <v>92.979751450463652</v>
      </c>
      <c r="CD75" s="580">
        <f t="shared" si="159"/>
        <v>-50</v>
      </c>
      <c r="CE75">
        <f t="shared" si="160"/>
        <v>-50</v>
      </c>
    </row>
    <row r="76" spans="5:83" x14ac:dyDescent="0.2">
      <c r="E76" s="175">
        <v>71</v>
      </c>
      <c r="F76" s="222">
        <f t="shared" si="161"/>
        <v>0.28399999999999997</v>
      </c>
      <c r="G76" s="222"/>
      <c r="H76" s="222">
        <f t="shared" si="113"/>
        <v>3.4079999999999995</v>
      </c>
      <c r="I76" s="558">
        <f t="shared" si="114"/>
        <v>24</v>
      </c>
      <c r="J76" s="177">
        <f t="shared" si="115"/>
        <v>24.5</v>
      </c>
      <c r="K76" s="453">
        <f t="shared" si="116"/>
        <v>48.5</v>
      </c>
      <c r="L76" s="453"/>
      <c r="M76" s="222">
        <f t="shared" si="117"/>
        <v>0.50515463917525771</v>
      </c>
      <c r="N76" s="177">
        <f t="shared" si="118"/>
        <v>8.3502061855670089</v>
      </c>
      <c r="O76" s="177">
        <f t="shared" si="162"/>
        <v>3.4079999999999995</v>
      </c>
      <c r="P76" s="222">
        <f t="shared" si="119"/>
        <v>0.69585051546391741</v>
      </c>
      <c r="Q76" s="222">
        <f t="shared" si="120"/>
        <v>12</v>
      </c>
      <c r="R76" s="222">
        <f t="shared" si="121"/>
        <v>0.73247422680412366</v>
      </c>
      <c r="S76" s="177">
        <f t="shared" si="122"/>
        <v>46.268715524856091</v>
      </c>
      <c r="T76" s="177">
        <f t="shared" si="123"/>
        <v>12</v>
      </c>
      <c r="U76" s="222">
        <f t="shared" si="124"/>
        <v>0.59179377013963486</v>
      </c>
      <c r="V76" s="222">
        <f t="shared" si="125"/>
        <v>2.0712781954887221</v>
      </c>
      <c r="W76" s="222">
        <f t="shared" si="126"/>
        <v>2.0290072119073197</v>
      </c>
      <c r="X76" s="202">
        <f t="shared" si="127"/>
        <v>350</v>
      </c>
      <c r="Y76" s="453">
        <f t="shared" si="163"/>
        <v>243.88546177693215</v>
      </c>
      <c r="AA76" s="222">
        <f t="shared" si="128"/>
        <v>0.41237113402061859</v>
      </c>
      <c r="AB76" s="178">
        <f t="shared" si="129"/>
        <v>1.4138438880706923</v>
      </c>
      <c r="AC76" s="178">
        <f t="shared" si="130"/>
        <v>0.20405994260814117</v>
      </c>
      <c r="AD76" s="178"/>
      <c r="AE76" s="178">
        <f t="shared" si="131"/>
        <v>0.99428571428571422</v>
      </c>
      <c r="AF76" s="562">
        <f t="shared" si="176"/>
        <v>984.93856520015879</v>
      </c>
      <c r="AG76" s="545">
        <f t="shared" si="132"/>
        <v>0.10091999999999998</v>
      </c>
      <c r="AI76" s="178">
        <f t="shared" si="133"/>
        <v>0.49912203619710466</v>
      </c>
      <c r="AJ76" s="178">
        <f t="shared" si="134"/>
        <v>0.59179377013963486</v>
      </c>
      <c r="AK76" s="178">
        <f t="shared" si="135"/>
        <v>1.423550940844174</v>
      </c>
      <c r="AM76" s="562">
        <f t="shared" si="136"/>
        <v>284</v>
      </c>
      <c r="AN76" s="471">
        <f t="shared" si="137"/>
        <v>243.88546177693215</v>
      </c>
      <c r="AP76">
        <f t="shared" si="138"/>
        <v>284</v>
      </c>
      <c r="AQ76">
        <f t="shared" si="139"/>
        <v>243.88546177693215</v>
      </c>
      <c r="AS76" s="5">
        <f t="shared" si="164"/>
        <v>4.1002854073960417</v>
      </c>
      <c r="AT76" s="5">
        <f t="shared" si="140"/>
        <v>2.0712781954887221</v>
      </c>
      <c r="AU76" s="5">
        <f t="shared" si="165"/>
        <v>2.0290072119073197</v>
      </c>
      <c r="AV76" s="5">
        <f t="shared" si="141"/>
        <v>2.0290072119073197</v>
      </c>
      <c r="AW76" s="178">
        <f t="shared" si="166"/>
        <v>0.50515463917525771</v>
      </c>
      <c r="AX76" s="178">
        <f t="shared" si="142"/>
        <v>3.5873684210526315</v>
      </c>
      <c r="AY76" s="178">
        <f t="shared" si="143"/>
        <v>0.29284640171858223</v>
      </c>
      <c r="AZ76" s="178">
        <f t="shared" si="167"/>
        <v>12.249999999999998</v>
      </c>
      <c r="BA76" s="471">
        <f t="shared" si="144"/>
        <v>4.9020250626566417</v>
      </c>
      <c r="BB76" s="5">
        <f t="shared" si="145"/>
        <v>0.25273598604459591</v>
      </c>
      <c r="BC76" s="5"/>
      <c r="BD76" s="178">
        <f t="shared" si="168"/>
        <v>0.24284095634194902</v>
      </c>
      <c r="BE76" s="178">
        <f t="shared" si="146"/>
        <v>0.48070042804899576</v>
      </c>
      <c r="BF76" s="178"/>
      <c r="BG76" s="545">
        <f t="shared" si="147"/>
        <v>2.0640105526975334E-2</v>
      </c>
      <c r="BH76" s="545">
        <f t="shared" si="148"/>
        <v>5.2499999999999991E-2</v>
      </c>
      <c r="BI76" s="545">
        <f t="shared" si="149"/>
        <v>3.0485682722116514E-3</v>
      </c>
      <c r="BJ76" s="545">
        <f t="shared" si="150"/>
        <v>2.8683978873239434E-2</v>
      </c>
      <c r="BK76">
        <f t="shared" si="151"/>
        <v>6.96E-3</v>
      </c>
      <c r="BL76" s="545">
        <f t="shared" si="152"/>
        <v>0.11263821829512813</v>
      </c>
      <c r="BM76" s="471">
        <f t="shared" si="169"/>
        <v>112.63821829512813</v>
      </c>
      <c r="BN76" s="545">
        <f t="shared" si="153"/>
        <v>8.5199999999999984E-2</v>
      </c>
      <c r="BO76" s="545"/>
      <c r="BQ76" s="471">
        <f t="shared" si="170"/>
        <v>85.199999999999989</v>
      </c>
      <c r="BR76" s="545">
        <f t="shared" si="154"/>
        <v>5.6023143573218775E-3</v>
      </c>
      <c r="BS76" s="545">
        <f t="shared" si="155"/>
        <v>2.0796561137383898E-2</v>
      </c>
      <c r="BT76" s="545">
        <f t="shared" si="156"/>
        <v>1.2512980214660083E-2</v>
      </c>
      <c r="BU76" s="545">
        <f t="shared" si="157"/>
        <v>3.8994207968660204E-2</v>
      </c>
      <c r="BV76" s="545">
        <f t="shared" si="158"/>
        <v>1.9218045112781957E-2</v>
      </c>
      <c r="BW76" s="471">
        <f t="shared" si="171"/>
        <v>58.212253081442164</v>
      </c>
      <c r="BX76" s="178">
        <f t="shared" si="172"/>
        <v>0.25605047137657028</v>
      </c>
      <c r="BY76" s="5">
        <f t="shared" si="173"/>
        <v>3.4079999999999995</v>
      </c>
      <c r="BZ76" s="178">
        <f t="shared" si="174"/>
        <v>0.93011819204543511</v>
      </c>
      <c r="CA76" s="5">
        <f t="shared" si="175"/>
        <v>93.011819204543514</v>
      </c>
      <c r="CD76" s="580">
        <f t="shared" si="159"/>
        <v>-50</v>
      </c>
      <c r="CE76">
        <f t="shared" si="160"/>
        <v>-50</v>
      </c>
    </row>
    <row r="77" spans="5:83" x14ac:dyDescent="0.2">
      <c r="E77" s="175">
        <v>72</v>
      </c>
      <c r="F77" s="222">
        <f t="shared" si="161"/>
        <v>0.28799999999999998</v>
      </c>
      <c r="G77" s="222"/>
      <c r="H77" s="222">
        <f t="shared" si="113"/>
        <v>3.4559999999999995</v>
      </c>
      <c r="I77" s="558">
        <f t="shared" si="114"/>
        <v>24</v>
      </c>
      <c r="J77" s="177">
        <f t="shared" si="115"/>
        <v>24.5</v>
      </c>
      <c r="K77" s="453">
        <f t="shared" si="116"/>
        <v>48.5</v>
      </c>
      <c r="L77" s="453"/>
      <c r="M77" s="222">
        <f t="shared" si="117"/>
        <v>0.50515463917525771</v>
      </c>
      <c r="N77" s="177">
        <f t="shared" si="118"/>
        <v>8.3502061855670089</v>
      </c>
      <c r="O77" s="177">
        <f t="shared" si="162"/>
        <v>3.4559999999999995</v>
      </c>
      <c r="P77" s="222">
        <f t="shared" si="119"/>
        <v>0.69585051546391741</v>
      </c>
      <c r="Q77" s="222">
        <f t="shared" si="120"/>
        <v>12</v>
      </c>
      <c r="R77" s="222">
        <f t="shared" si="121"/>
        <v>0.73247422680412366</v>
      </c>
      <c r="S77" s="177">
        <f t="shared" si="122"/>
        <v>45.461462386602896</v>
      </c>
      <c r="T77" s="177">
        <f t="shared" si="123"/>
        <v>12</v>
      </c>
      <c r="U77" s="222">
        <f t="shared" si="124"/>
        <v>0.60012889366272826</v>
      </c>
      <c r="V77" s="222">
        <f t="shared" si="125"/>
        <v>2.1004511278195488</v>
      </c>
      <c r="W77" s="222">
        <f t="shared" si="126"/>
        <v>2.057584778272211</v>
      </c>
      <c r="X77" s="202">
        <f t="shared" si="127"/>
        <v>350</v>
      </c>
      <c r="Y77" s="453">
        <f t="shared" si="163"/>
        <v>240.49816369669702</v>
      </c>
      <c r="AA77" s="222">
        <f t="shared" si="128"/>
        <v>0.41237113402061859</v>
      </c>
      <c r="AB77" s="178">
        <f t="shared" si="129"/>
        <v>1.4138438880706923</v>
      </c>
      <c r="AC77" s="178">
        <f t="shared" si="130"/>
        <v>0.20405994260814117</v>
      </c>
      <c r="AD77" s="178"/>
      <c r="AE77" s="178">
        <f t="shared" si="131"/>
        <v>0.99428571428571422</v>
      </c>
      <c r="AF77" s="562">
        <f t="shared" si="176"/>
        <v>998.81093935790739</v>
      </c>
      <c r="AG77" s="545">
        <f t="shared" si="132"/>
        <v>0.10091999999999998</v>
      </c>
      <c r="AI77" s="178">
        <f t="shared" si="133"/>
        <v>0.50262468995003462</v>
      </c>
      <c r="AJ77" s="178">
        <f t="shared" si="134"/>
        <v>0.60012889366272826</v>
      </c>
      <c r="AK77" s="178">
        <f t="shared" si="135"/>
        <v>1.4297251064168357</v>
      </c>
      <c r="AM77" s="562">
        <f t="shared" si="136"/>
        <v>288</v>
      </c>
      <c r="AN77" s="471">
        <f t="shared" si="137"/>
        <v>240.49816369669702</v>
      </c>
      <c r="AP77">
        <f t="shared" si="138"/>
        <v>288</v>
      </c>
      <c r="AQ77">
        <f t="shared" si="139"/>
        <v>240.49816369669702</v>
      </c>
      <c r="AS77" s="5">
        <f t="shared" si="164"/>
        <v>4.1580359060917598</v>
      </c>
      <c r="AT77" s="5">
        <f t="shared" si="140"/>
        <v>2.1004511278195488</v>
      </c>
      <c r="AU77" s="5">
        <f t="shared" si="165"/>
        <v>2.057584778272211</v>
      </c>
      <c r="AV77" s="5">
        <f t="shared" si="141"/>
        <v>2.057584778272211</v>
      </c>
      <c r="AW77" s="178">
        <f t="shared" si="166"/>
        <v>0.50515463917525771</v>
      </c>
      <c r="AX77" s="178">
        <f t="shared" si="142"/>
        <v>3.6378947368421057</v>
      </c>
      <c r="AY77" s="178">
        <f t="shared" si="143"/>
        <v>0.29697099892588613</v>
      </c>
      <c r="AZ77" s="178">
        <f t="shared" si="167"/>
        <v>12.250000000000002</v>
      </c>
      <c r="BA77" s="471">
        <f t="shared" si="144"/>
        <v>5.0410827067669164</v>
      </c>
      <c r="BB77" s="5">
        <f t="shared" si="145"/>
        <v>0.25990544567648977</v>
      </c>
      <c r="BC77" s="5"/>
      <c r="BD77" s="178">
        <f t="shared" si="168"/>
        <v>0.24626125150169476</v>
      </c>
      <c r="BE77" s="178">
        <f t="shared" si="146"/>
        <v>0.48747085661306605</v>
      </c>
      <c r="BF77" s="178"/>
      <c r="BG77" s="545">
        <f t="shared" si="147"/>
        <v>2.1225611396913334E-2</v>
      </c>
      <c r="BH77" s="545">
        <f t="shared" si="148"/>
        <v>5.2499999999999998E-2</v>
      </c>
      <c r="BI77" s="545">
        <f t="shared" si="149"/>
        <v>3.0062270462087124E-3</v>
      </c>
      <c r="BJ77" s="545">
        <f t="shared" si="150"/>
        <v>2.8285590277777779E-2</v>
      </c>
      <c r="BK77">
        <f t="shared" si="151"/>
        <v>6.96E-3</v>
      </c>
      <c r="BL77" s="545">
        <f t="shared" si="152"/>
        <v>0.1128070881182721</v>
      </c>
      <c r="BM77" s="471">
        <f t="shared" si="169"/>
        <v>112.80708811827211</v>
      </c>
      <c r="BN77" s="545">
        <f t="shared" si="153"/>
        <v>8.6399999999999991E-2</v>
      </c>
      <c r="BO77" s="545"/>
      <c r="BQ77" s="471">
        <f t="shared" si="170"/>
        <v>86.399999999999991</v>
      </c>
      <c r="BR77" s="545">
        <f t="shared" si="154"/>
        <v>5.761237379162191E-3</v>
      </c>
      <c r="BS77" s="545">
        <f t="shared" si="155"/>
        <v>2.1386505244236877E-2</v>
      </c>
      <c r="BT77" s="545">
        <f t="shared" si="156"/>
        <v>1.2512980214660093E-2</v>
      </c>
      <c r="BU77" s="545">
        <f t="shared" si="157"/>
        <v>3.9747046244578206E-2</v>
      </c>
      <c r="BV77" s="545">
        <f t="shared" si="158"/>
        <v>1.9488721804511284E-2</v>
      </c>
      <c r="BW77" s="471">
        <f t="shared" si="171"/>
        <v>59.235768049089494</v>
      </c>
      <c r="BX77" s="178">
        <f t="shared" si="172"/>
        <v>0.25844285616736157</v>
      </c>
      <c r="BY77" s="5">
        <f t="shared" si="173"/>
        <v>3.4559999999999995</v>
      </c>
      <c r="BZ77" s="178">
        <f t="shared" si="174"/>
        <v>0.93042217469081534</v>
      </c>
      <c r="CA77" s="5">
        <f t="shared" si="175"/>
        <v>93.042217469081535</v>
      </c>
      <c r="CD77" s="580">
        <f t="shared" si="159"/>
        <v>-50</v>
      </c>
      <c r="CE77">
        <f t="shared" si="160"/>
        <v>-50</v>
      </c>
    </row>
    <row r="78" spans="5:83" x14ac:dyDescent="0.2">
      <c r="E78" s="175">
        <v>73</v>
      </c>
      <c r="F78" s="222">
        <f t="shared" si="161"/>
        <v>0.29199999999999998</v>
      </c>
      <c r="G78" s="222"/>
      <c r="H78" s="222">
        <f t="shared" si="113"/>
        <v>3.5039999999999996</v>
      </c>
      <c r="I78" s="558">
        <f t="shared" si="114"/>
        <v>24</v>
      </c>
      <c r="J78" s="177">
        <f t="shared" si="115"/>
        <v>24.5</v>
      </c>
      <c r="K78" s="453">
        <f t="shared" si="116"/>
        <v>48.5</v>
      </c>
      <c r="L78" s="453"/>
      <c r="M78" s="222">
        <f t="shared" si="117"/>
        <v>0.50515463917525771</v>
      </c>
      <c r="N78" s="177">
        <f t="shared" si="118"/>
        <v>8.3502061855670089</v>
      </c>
      <c r="O78" s="177">
        <f t="shared" si="162"/>
        <v>3.5039999999999996</v>
      </c>
      <c r="P78" s="222">
        <f t="shared" si="119"/>
        <v>0.69585051546391741</v>
      </c>
      <c r="Q78" s="222">
        <f t="shared" si="120"/>
        <v>12</v>
      </c>
      <c r="R78" s="222">
        <f t="shared" si="121"/>
        <v>0.73247422680412366</v>
      </c>
      <c r="S78" s="177">
        <f t="shared" si="122"/>
        <v>44.676364975486237</v>
      </c>
      <c r="T78" s="177">
        <f t="shared" si="123"/>
        <v>12</v>
      </c>
      <c r="U78" s="222">
        <f t="shared" si="124"/>
        <v>0.60846401718582177</v>
      </c>
      <c r="V78" s="222">
        <f t="shared" si="125"/>
        <v>2.1296240601503764</v>
      </c>
      <c r="W78" s="222">
        <f t="shared" si="126"/>
        <v>2.0861623446371031</v>
      </c>
      <c r="X78" s="202">
        <f t="shared" si="127"/>
        <v>350</v>
      </c>
      <c r="Y78" s="453">
        <f t="shared" si="163"/>
        <v>237.20366830359154</v>
      </c>
      <c r="AA78" s="222">
        <f t="shared" si="128"/>
        <v>0.41237113402061859</v>
      </c>
      <c r="AB78" s="178">
        <f t="shared" si="129"/>
        <v>1.4138438880706923</v>
      </c>
      <c r="AC78" s="178">
        <f t="shared" si="130"/>
        <v>0.20405994260814117</v>
      </c>
      <c r="AD78" s="178"/>
      <c r="AE78" s="178">
        <f t="shared" si="131"/>
        <v>0.99428571428571422</v>
      </c>
      <c r="AF78" s="562">
        <f t="shared" si="176"/>
        <v>1012.6833135156562</v>
      </c>
      <c r="AG78" s="545">
        <f t="shared" si="132"/>
        <v>0.10091999999999998</v>
      </c>
      <c r="AI78" s="178">
        <f t="shared" si="133"/>
        <v>0.50610310301083217</v>
      </c>
      <c r="AJ78" s="178">
        <f t="shared" si="134"/>
        <v>0.60846401718582177</v>
      </c>
      <c r="AK78" s="178">
        <f t="shared" si="135"/>
        <v>1.4358992719894976</v>
      </c>
      <c r="AM78" s="562">
        <f t="shared" si="136"/>
        <v>292</v>
      </c>
      <c r="AN78" s="471">
        <f t="shared" si="137"/>
        <v>237.20366830359154</v>
      </c>
      <c r="AP78">
        <f t="shared" si="138"/>
        <v>292</v>
      </c>
      <c r="AQ78">
        <f t="shared" si="139"/>
        <v>237.20366830359154</v>
      </c>
      <c r="AS78" s="5">
        <f t="shared" si="164"/>
        <v>4.2157864047874796</v>
      </c>
      <c r="AT78" s="5">
        <f t="shared" si="140"/>
        <v>2.1296240601503764</v>
      </c>
      <c r="AU78" s="5">
        <f t="shared" si="165"/>
        <v>2.0861623446371031</v>
      </c>
      <c r="AV78" s="5">
        <f t="shared" si="141"/>
        <v>2.0861623446371031</v>
      </c>
      <c r="AW78" s="178">
        <f t="shared" si="166"/>
        <v>0.50515463917525771</v>
      </c>
      <c r="AX78" s="178">
        <f t="shared" si="142"/>
        <v>3.6884210526315786</v>
      </c>
      <c r="AY78" s="178">
        <f t="shared" si="143"/>
        <v>0.30109559613319015</v>
      </c>
      <c r="AZ78" s="178">
        <f t="shared" si="167"/>
        <v>12.249999999999998</v>
      </c>
      <c r="BA78" s="471">
        <f t="shared" si="144"/>
        <v>5.1820852130325825</v>
      </c>
      <c r="BB78" s="5">
        <f t="shared" si="145"/>
        <v>0.2671751774710675</v>
      </c>
      <c r="BC78" s="5"/>
      <c r="BD78" s="178">
        <f t="shared" si="168"/>
        <v>0.24968154666144055</v>
      </c>
      <c r="BE78" s="178">
        <f t="shared" si="146"/>
        <v>0.4942412851771365</v>
      </c>
      <c r="BF78" s="178"/>
      <c r="BG78" s="545">
        <f t="shared" si="147"/>
        <v>2.1819306160137188E-2</v>
      </c>
      <c r="BH78" s="545">
        <f t="shared" si="148"/>
        <v>5.2499999999999998E-2</v>
      </c>
      <c r="BI78" s="545">
        <f t="shared" si="149"/>
        <v>2.9650458537948941E-3</v>
      </c>
      <c r="BJ78" s="545">
        <f t="shared" si="150"/>
        <v>2.7898116438356161E-2</v>
      </c>
      <c r="BK78">
        <f t="shared" si="151"/>
        <v>6.96E-3</v>
      </c>
      <c r="BL78" s="545">
        <f t="shared" si="152"/>
        <v>0.11299676804046212</v>
      </c>
      <c r="BM78" s="471">
        <f t="shared" si="169"/>
        <v>112.99676804046211</v>
      </c>
      <c r="BN78" s="545">
        <f t="shared" si="153"/>
        <v>8.7599999999999997E-2</v>
      </c>
      <c r="BO78" s="545"/>
      <c r="BQ78" s="471">
        <f t="shared" si="170"/>
        <v>87.6</v>
      </c>
      <c r="BR78" s="545">
        <f t="shared" si="154"/>
        <v>5.9223831006086662E-3</v>
      </c>
      <c r="BS78" s="545">
        <f t="shared" si="155"/>
        <v>2.1984700317619281E-2</v>
      </c>
      <c r="BT78" s="545">
        <f t="shared" si="156"/>
        <v>1.2512980214660071E-2</v>
      </c>
      <c r="BU78" s="545">
        <f t="shared" si="157"/>
        <v>4.0510506038594712E-2</v>
      </c>
      <c r="BV78" s="545">
        <f t="shared" si="158"/>
        <v>1.9759398496240605E-2</v>
      </c>
      <c r="BW78" s="471">
        <f t="shared" si="171"/>
        <v>60.269904534835312</v>
      </c>
      <c r="BX78" s="178">
        <f t="shared" si="172"/>
        <v>0.26086667257529744</v>
      </c>
      <c r="BY78" s="5">
        <f t="shared" si="173"/>
        <v>3.5039999999999996</v>
      </c>
      <c r="BZ78" s="178">
        <f t="shared" si="174"/>
        <v>0.93071024945569836</v>
      </c>
      <c r="CA78" s="5">
        <f t="shared" si="175"/>
        <v>93.071024945569832</v>
      </c>
      <c r="CD78" s="580">
        <f t="shared" si="159"/>
        <v>-50</v>
      </c>
      <c r="CE78">
        <f t="shared" si="160"/>
        <v>-50</v>
      </c>
    </row>
    <row r="79" spans="5:83" x14ac:dyDescent="0.2">
      <c r="E79" s="175">
        <v>74</v>
      </c>
      <c r="F79" s="222">
        <f t="shared" si="161"/>
        <v>0.29599999999999999</v>
      </c>
      <c r="G79" s="222"/>
      <c r="H79" s="222">
        <f t="shared" si="113"/>
        <v>3.5519999999999996</v>
      </c>
      <c r="I79" s="558">
        <f t="shared" si="114"/>
        <v>24</v>
      </c>
      <c r="J79" s="177">
        <f t="shared" si="115"/>
        <v>24.5</v>
      </c>
      <c r="K79" s="453">
        <f t="shared" si="116"/>
        <v>48.5</v>
      </c>
      <c r="L79" s="453"/>
      <c r="M79" s="222">
        <f t="shared" si="117"/>
        <v>0.50515463917525771</v>
      </c>
      <c r="N79" s="177">
        <f t="shared" si="118"/>
        <v>8.3502061855670089</v>
      </c>
      <c r="O79" s="177">
        <f t="shared" si="162"/>
        <v>3.5519999999999996</v>
      </c>
      <c r="P79" s="222">
        <f t="shared" si="119"/>
        <v>0.69585051546391741</v>
      </c>
      <c r="Q79" s="222">
        <f t="shared" si="120"/>
        <v>12</v>
      </c>
      <c r="R79" s="222">
        <f t="shared" si="121"/>
        <v>0.73247422680412366</v>
      </c>
      <c r="S79" s="177">
        <f t="shared" si="122"/>
        <v>43.912525492263143</v>
      </c>
      <c r="T79" s="177">
        <f t="shared" si="123"/>
        <v>12</v>
      </c>
      <c r="U79" s="222">
        <f t="shared" si="124"/>
        <v>0.61679914070891517</v>
      </c>
      <c r="V79" s="222">
        <f t="shared" si="125"/>
        <v>2.1587969924812027</v>
      </c>
      <c r="W79" s="222">
        <f t="shared" si="126"/>
        <v>2.1147399110019944</v>
      </c>
      <c r="X79" s="202">
        <f t="shared" si="127"/>
        <v>350</v>
      </c>
      <c r="Y79" s="453">
        <f t="shared" si="163"/>
        <v>233.99821332651601</v>
      </c>
      <c r="AA79" s="222">
        <f t="shared" si="128"/>
        <v>0.41237113402061859</v>
      </c>
      <c r="AB79" s="178">
        <f t="shared" si="129"/>
        <v>1.4138438880706923</v>
      </c>
      <c r="AC79" s="178">
        <f t="shared" si="130"/>
        <v>0.20405994260814117</v>
      </c>
      <c r="AD79" s="178"/>
      <c r="AE79" s="178">
        <f t="shared" si="131"/>
        <v>0.99428571428571422</v>
      </c>
      <c r="AF79" s="562">
        <f t="shared" si="176"/>
        <v>1026.5556876734049</v>
      </c>
      <c r="AG79" s="545">
        <f t="shared" si="132"/>
        <v>0.10091999999999998</v>
      </c>
      <c r="AI79" s="178">
        <f t="shared" si="133"/>
        <v>0.5095577718051385</v>
      </c>
      <c r="AJ79" s="178">
        <f t="shared" si="134"/>
        <v>0.61679914070891517</v>
      </c>
      <c r="AK79" s="178">
        <f t="shared" si="135"/>
        <v>1.4420734375621593</v>
      </c>
      <c r="AM79" s="562">
        <f t="shared" si="136"/>
        <v>296</v>
      </c>
      <c r="AN79" s="471">
        <f t="shared" si="137"/>
        <v>233.99821332651601</v>
      </c>
      <c r="AP79">
        <f t="shared" si="138"/>
        <v>296</v>
      </c>
      <c r="AQ79">
        <f t="shared" si="139"/>
        <v>233.99821332651601</v>
      </c>
      <c r="AS79" s="5">
        <f t="shared" si="164"/>
        <v>4.2735369034831976</v>
      </c>
      <c r="AT79" s="5">
        <f t="shared" si="140"/>
        <v>2.1587969924812027</v>
      </c>
      <c r="AU79" s="5">
        <f t="shared" si="165"/>
        <v>2.1147399110019949</v>
      </c>
      <c r="AV79" s="5">
        <f t="shared" si="141"/>
        <v>2.1147399110019944</v>
      </c>
      <c r="AW79" s="178">
        <f t="shared" si="166"/>
        <v>0.50515463917525771</v>
      </c>
      <c r="AX79" s="178">
        <f t="shared" si="142"/>
        <v>3.7389473684210532</v>
      </c>
      <c r="AY79" s="178">
        <f t="shared" si="143"/>
        <v>0.30522019334049411</v>
      </c>
      <c r="AZ79" s="178">
        <f t="shared" si="167"/>
        <v>12.250000000000002</v>
      </c>
      <c r="BA79" s="471">
        <f t="shared" si="144"/>
        <v>5.325032581453633</v>
      </c>
      <c r="BB79" s="5">
        <f t="shared" si="145"/>
        <v>0.27454518142832912</v>
      </c>
      <c r="BC79" s="5"/>
      <c r="BD79" s="178">
        <f t="shared" si="168"/>
        <v>0.25310184182118628</v>
      </c>
      <c r="BE79" s="178">
        <f t="shared" si="146"/>
        <v>0.50101171374120679</v>
      </c>
      <c r="BF79" s="178"/>
      <c r="BG79" s="545">
        <f t="shared" si="147"/>
        <v>2.2421189816646876E-2</v>
      </c>
      <c r="BH79" s="545">
        <f t="shared" si="148"/>
        <v>5.2499999999999998E-2</v>
      </c>
      <c r="BI79" s="545">
        <f t="shared" si="149"/>
        <v>2.9249776665814502E-3</v>
      </c>
      <c r="BJ79" s="545">
        <f t="shared" si="150"/>
        <v>2.7521114864864867E-2</v>
      </c>
      <c r="BK79">
        <f t="shared" si="151"/>
        <v>6.96E-3</v>
      </c>
      <c r="BL79" s="545">
        <f t="shared" si="152"/>
        <v>0.11320677928106664</v>
      </c>
      <c r="BM79" s="471">
        <f t="shared" si="169"/>
        <v>113.20677928106663</v>
      </c>
      <c r="BN79" s="545">
        <f t="shared" si="153"/>
        <v>8.879999999999999E-2</v>
      </c>
      <c r="BO79" s="545"/>
      <c r="BQ79" s="471">
        <f t="shared" si="170"/>
        <v>88.799999999999983</v>
      </c>
      <c r="BR79" s="545">
        <f t="shared" si="154"/>
        <v>6.0857515216612952E-3</v>
      </c>
      <c r="BS79" s="545">
        <f t="shared" si="155"/>
        <v>2.2591146357531084E-2</v>
      </c>
      <c r="BT79" s="545">
        <f t="shared" si="156"/>
        <v>1.2512980214660069E-2</v>
      </c>
      <c r="BU79" s="545">
        <f t="shared" si="157"/>
        <v>4.1284591214351497E-2</v>
      </c>
      <c r="BV79" s="545">
        <f t="shared" si="158"/>
        <v>2.0030075187969926E-2</v>
      </c>
      <c r="BW79" s="471">
        <f t="shared" si="171"/>
        <v>61.314666402321421</v>
      </c>
      <c r="BX79" s="178">
        <f t="shared" si="172"/>
        <v>0.26332144568338806</v>
      </c>
      <c r="BY79" s="5">
        <f t="shared" si="173"/>
        <v>3.5519999999999996</v>
      </c>
      <c r="BZ79" s="178">
        <f t="shared" si="174"/>
        <v>0.93098315582785118</v>
      </c>
      <c r="CA79" s="5">
        <f t="shared" si="175"/>
        <v>93.098315582785119</v>
      </c>
      <c r="CD79" s="580">
        <f t="shared" si="159"/>
        <v>-50</v>
      </c>
      <c r="CE79">
        <f t="shared" si="160"/>
        <v>-50</v>
      </c>
    </row>
    <row r="80" spans="5:83" x14ac:dyDescent="0.2">
      <c r="E80" s="175">
        <v>75</v>
      </c>
      <c r="F80" s="222">
        <f t="shared" si="161"/>
        <v>0.30000000000000004</v>
      </c>
      <c r="G80" s="222"/>
      <c r="H80" s="222">
        <f t="shared" si="113"/>
        <v>3.6000000000000005</v>
      </c>
      <c r="I80" s="558">
        <f t="shared" si="114"/>
        <v>24</v>
      </c>
      <c r="J80" s="177">
        <f t="shared" si="115"/>
        <v>24.5</v>
      </c>
      <c r="K80" s="453">
        <f t="shared" si="116"/>
        <v>48.5</v>
      </c>
      <c r="L80" s="453"/>
      <c r="M80" s="222">
        <f t="shared" si="117"/>
        <v>0.50515463917525771</v>
      </c>
      <c r="N80" s="177">
        <f t="shared" si="118"/>
        <v>8.3502061855670089</v>
      </c>
      <c r="O80" s="177">
        <f t="shared" si="162"/>
        <v>3.6000000000000005</v>
      </c>
      <c r="P80" s="222">
        <f t="shared" si="119"/>
        <v>0.69585051546391741</v>
      </c>
      <c r="Q80" s="222">
        <f t="shared" si="120"/>
        <v>12</v>
      </c>
      <c r="R80" s="222">
        <f t="shared" si="121"/>
        <v>0.73247422680412366</v>
      </c>
      <c r="S80" s="177">
        <f t="shared" si="122"/>
        <v>43.169094025734886</v>
      </c>
      <c r="T80" s="177">
        <f t="shared" si="123"/>
        <v>12</v>
      </c>
      <c r="U80" s="222">
        <f t="shared" si="124"/>
        <v>0.6251342642320088</v>
      </c>
      <c r="V80" s="222">
        <f t="shared" si="125"/>
        <v>2.1879699248120308</v>
      </c>
      <c r="W80" s="222">
        <f t="shared" si="126"/>
        <v>2.1433174773668875</v>
      </c>
      <c r="X80" s="202">
        <f t="shared" si="127"/>
        <v>350</v>
      </c>
      <c r="Y80" s="453">
        <f t="shared" si="163"/>
        <v>230.87823714882904</v>
      </c>
      <c r="AA80" s="222">
        <f t="shared" si="128"/>
        <v>0.41237113402061859</v>
      </c>
      <c r="AB80" s="178">
        <f t="shared" si="129"/>
        <v>1.4138438880706923</v>
      </c>
      <c r="AC80" s="178">
        <f t="shared" si="130"/>
        <v>0.20405994260814117</v>
      </c>
      <c r="AD80" s="178"/>
      <c r="AE80" s="178">
        <f t="shared" si="131"/>
        <v>0.99428571428571422</v>
      </c>
      <c r="AF80" s="562">
        <f t="shared" si="176"/>
        <v>1040.4280618311539</v>
      </c>
      <c r="AG80" s="545">
        <f t="shared" si="132"/>
        <v>0.10091999999999998</v>
      </c>
      <c r="AI80" s="178">
        <f t="shared" si="133"/>
        <v>0.5129891760425771</v>
      </c>
      <c r="AJ80" s="178">
        <f t="shared" si="134"/>
        <v>0.6251342642320088</v>
      </c>
      <c r="AK80" s="178">
        <f t="shared" si="135"/>
        <v>1.4482476031348213</v>
      </c>
      <c r="AM80" s="562">
        <f t="shared" si="136"/>
        <v>300.00000000000006</v>
      </c>
      <c r="AN80" s="471">
        <f t="shared" si="137"/>
        <v>230.87823714882904</v>
      </c>
      <c r="AP80">
        <f t="shared" si="138"/>
        <v>300.00000000000006</v>
      </c>
      <c r="AQ80">
        <f t="shared" si="139"/>
        <v>230.87823714882904</v>
      </c>
      <c r="AS80" s="5">
        <f t="shared" si="164"/>
        <v>4.3312874021789183</v>
      </c>
      <c r="AT80" s="5">
        <f t="shared" si="140"/>
        <v>2.1879699248120308</v>
      </c>
      <c r="AU80" s="5">
        <f t="shared" si="165"/>
        <v>2.1433174773668875</v>
      </c>
      <c r="AV80" s="5">
        <f t="shared" si="141"/>
        <v>2.1433174773668875</v>
      </c>
      <c r="AW80" s="178">
        <f t="shared" si="166"/>
        <v>0.50515463917525771</v>
      </c>
      <c r="AX80" s="178">
        <f t="shared" si="142"/>
        <v>3.7894736842105265</v>
      </c>
      <c r="AY80" s="178">
        <f t="shared" si="143"/>
        <v>0.30934479054779818</v>
      </c>
      <c r="AZ80" s="178">
        <f t="shared" si="167"/>
        <v>12.249999999999996</v>
      </c>
      <c r="BA80" s="471">
        <f t="shared" si="144"/>
        <v>5.4699248120300776</v>
      </c>
      <c r="BB80" s="5">
        <f t="shared" si="145"/>
        <v>0.28201545754827462</v>
      </c>
      <c r="BC80" s="5"/>
      <c r="BD80" s="178">
        <f t="shared" si="168"/>
        <v>0.25652213698093213</v>
      </c>
      <c r="BE80" s="178">
        <f t="shared" si="146"/>
        <v>0.5077821423052773</v>
      </c>
      <c r="BF80" s="178"/>
      <c r="BG80" s="545">
        <f t="shared" si="147"/>
        <v>2.3031262366442436E-2</v>
      </c>
      <c r="BH80" s="545">
        <f t="shared" si="148"/>
        <v>5.2499999999999998E-2</v>
      </c>
      <c r="BI80" s="545">
        <f t="shared" si="149"/>
        <v>2.8859779643603629E-3</v>
      </c>
      <c r="BJ80" s="545">
        <f t="shared" si="150"/>
        <v>2.715416666666666E-2</v>
      </c>
      <c r="BK80">
        <f t="shared" si="151"/>
        <v>6.96E-3</v>
      </c>
      <c r="BL80" s="545">
        <f t="shared" si="152"/>
        <v>0.11343666932617241</v>
      </c>
      <c r="BM80" s="471">
        <f t="shared" si="169"/>
        <v>113.43666932617241</v>
      </c>
      <c r="BN80" s="545">
        <f t="shared" si="153"/>
        <v>9.0000000000000011E-2</v>
      </c>
      <c r="BO80" s="545"/>
      <c r="BQ80" s="471">
        <f t="shared" si="170"/>
        <v>90.000000000000014</v>
      </c>
      <c r="BR80" s="545">
        <f t="shared" si="154"/>
        <v>6.2513426423200904E-3</v>
      </c>
      <c r="BS80" s="545">
        <f t="shared" si="155"/>
        <v>2.3205843363972321E-2</v>
      </c>
      <c r="BT80" s="545">
        <f t="shared" si="156"/>
        <v>1.2512980214660069E-2</v>
      </c>
      <c r="BU80" s="545">
        <f t="shared" si="157"/>
        <v>4.2069305689981712E-2</v>
      </c>
      <c r="BV80" s="545">
        <f t="shared" si="158"/>
        <v>2.0300751879699253E-2</v>
      </c>
      <c r="BW80" s="471">
        <f t="shared" si="171"/>
        <v>62.370057569680959</v>
      </c>
      <c r="BX80" s="178">
        <f t="shared" si="172"/>
        <v>0.26580672689585338</v>
      </c>
      <c r="BY80" s="5">
        <f t="shared" si="173"/>
        <v>3.6000000000000005</v>
      </c>
      <c r="BZ80" s="178">
        <f t="shared" si="174"/>
        <v>0.93124158922727895</v>
      </c>
      <c r="CA80" s="5">
        <f t="shared" si="175"/>
        <v>93.124158922727901</v>
      </c>
      <c r="CD80" s="580">
        <f t="shared" si="159"/>
        <v>-50</v>
      </c>
      <c r="CE80">
        <f t="shared" si="160"/>
        <v>-50</v>
      </c>
    </row>
    <row r="81" spans="5:83" x14ac:dyDescent="0.2">
      <c r="E81" s="175">
        <v>76</v>
      </c>
      <c r="F81" s="222">
        <f t="shared" si="161"/>
        <v>0.30400000000000005</v>
      </c>
      <c r="G81" s="222"/>
      <c r="H81" s="222">
        <f t="shared" si="113"/>
        <v>3.6480000000000006</v>
      </c>
      <c r="I81" s="558">
        <f t="shared" si="114"/>
        <v>24</v>
      </c>
      <c r="J81" s="177">
        <f t="shared" si="115"/>
        <v>24.5</v>
      </c>
      <c r="K81" s="453">
        <f t="shared" si="116"/>
        <v>48.5</v>
      </c>
      <c r="L81" s="453"/>
      <c r="M81" s="222">
        <f t="shared" si="117"/>
        <v>0.50515463917525771</v>
      </c>
      <c r="N81" s="177">
        <f t="shared" si="118"/>
        <v>8.3502061855670089</v>
      </c>
      <c r="O81" s="177">
        <f t="shared" si="162"/>
        <v>3.6480000000000006</v>
      </c>
      <c r="P81" s="222">
        <f t="shared" si="119"/>
        <v>0.69585051546391741</v>
      </c>
      <c r="Q81" s="222">
        <f t="shared" si="120"/>
        <v>12</v>
      </c>
      <c r="R81" s="222">
        <f t="shared" si="121"/>
        <v>0.73247422680412366</v>
      </c>
      <c r="S81" s="177">
        <f t="shared" si="122"/>
        <v>42.445265402304713</v>
      </c>
      <c r="T81" s="177">
        <f t="shared" si="123"/>
        <v>12</v>
      </c>
      <c r="U81" s="222">
        <f t="shared" si="124"/>
        <v>0.6334693877551022</v>
      </c>
      <c r="V81" s="222">
        <f t="shared" si="125"/>
        <v>2.2171428571428575</v>
      </c>
      <c r="W81" s="222">
        <f t="shared" si="126"/>
        <v>2.1718950437317788</v>
      </c>
      <c r="X81" s="202">
        <f t="shared" si="127"/>
        <v>350</v>
      </c>
      <c r="Y81" s="453">
        <f t="shared" si="163"/>
        <v>227.84036560739713</v>
      </c>
      <c r="AA81" s="222">
        <f t="shared" si="128"/>
        <v>0.41237113402061859</v>
      </c>
      <c r="AB81" s="178">
        <f t="shared" si="129"/>
        <v>1.4138438880706923</v>
      </c>
      <c r="AC81" s="178">
        <f t="shared" si="130"/>
        <v>0.20405994260814117</v>
      </c>
      <c r="AD81" s="178"/>
      <c r="AE81" s="178">
        <f t="shared" si="131"/>
        <v>0.99428571428571422</v>
      </c>
      <c r="AF81" s="562">
        <f t="shared" si="176"/>
        <v>1054.3004359889026</v>
      </c>
      <c r="AG81" s="545">
        <f t="shared" si="132"/>
        <v>0.10091999999999998</v>
      </c>
      <c r="AI81" s="178">
        <f t="shared" si="133"/>
        <v>0.51639777949432231</v>
      </c>
      <c r="AJ81" s="178">
        <f t="shared" si="134"/>
        <v>0.6334693877551022</v>
      </c>
      <c r="AK81" s="178">
        <f t="shared" si="135"/>
        <v>1.454421768707483</v>
      </c>
      <c r="AM81" s="562">
        <f t="shared" si="136"/>
        <v>304.00000000000006</v>
      </c>
      <c r="AN81" s="471">
        <f t="shared" si="137"/>
        <v>227.84036560739713</v>
      </c>
      <c r="AP81">
        <f t="shared" si="138"/>
        <v>304.00000000000006</v>
      </c>
      <c r="AQ81">
        <f t="shared" si="139"/>
        <v>227.84036560739713</v>
      </c>
      <c r="AS81" s="5">
        <f t="shared" si="164"/>
        <v>4.3890379008746363</v>
      </c>
      <c r="AT81" s="5">
        <f t="shared" si="140"/>
        <v>2.2171428571428575</v>
      </c>
      <c r="AU81" s="5">
        <f t="shared" si="165"/>
        <v>2.1718950437317788</v>
      </c>
      <c r="AV81" s="5">
        <f t="shared" si="141"/>
        <v>2.1718950437317788</v>
      </c>
      <c r="AW81" s="178">
        <f t="shared" si="166"/>
        <v>0.50515463917525771</v>
      </c>
      <c r="AX81" s="178">
        <f t="shared" si="142"/>
        <v>3.8400000000000007</v>
      </c>
      <c r="AY81" s="178">
        <f t="shared" si="143"/>
        <v>0.31346938775510214</v>
      </c>
      <c r="AZ81" s="178">
        <f t="shared" si="167"/>
        <v>12.249999999999998</v>
      </c>
      <c r="BA81" s="471">
        <f t="shared" si="144"/>
        <v>5.6167619047619066</v>
      </c>
      <c r="BB81" s="5">
        <f t="shared" si="145"/>
        <v>0.28958600583090383</v>
      </c>
      <c r="BC81" s="5"/>
      <c r="BD81" s="178">
        <f t="shared" si="168"/>
        <v>0.25994243214067786</v>
      </c>
      <c r="BE81" s="178">
        <f t="shared" si="146"/>
        <v>0.51455257086934758</v>
      </c>
      <c r="BF81" s="178"/>
      <c r="BG81" s="545">
        <f t="shared" si="147"/>
        <v>2.3649523809523818E-2</v>
      </c>
      <c r="BH81" s="545">
        <f t="shared" si="148"/>
        <v>5.2500000000000005E-2</v>
      </c>
      <c r="BI81" s="545">
        <f t="shared" si="149"/>
        <v>2.848004570092464E-3</v>
      </c>
      <c r="BJ81" s="545">
        <f t="shared" si="150"/>
        <v>2.6796874999999994E-2</v>
      </c>
      <c r="BK81">
        <f t="shared" si="151"/>
        <v>6.96E-3</v>
      </c>
      <c r="BL81" s="545">
        <f t="shared" si="152"/>
        <v>0.11368601021145465</v>
      </c>
      <c r="BM81" s="471">
        <f t="shared" si="169"/>
        <v>113.68601021145464</v>
      </c>
      <c r="BN81" s="545">
        <f t="shared" si="153"/>
        <v>9.1200000000000017E-2</v>
      </c>
      <c r="BO81" s="545"/>
      <c r="BQ81" s="471">
        <f t="shared" si="170"/>
        <v>91.200000000000017</v>
      </c>
      <c r="BR81" s="545">
        <f t="shared" si="154"/>
        <v>6.4191564625850368E-3</v>
      </c>
      <c r="BS81" s="545">
        <f t="shared" si="155"/>
        <v>2.3828791336942944E-2</v>
      </c>
      <c r="BT81" s="545">
        <f t="shared" si="156"/>
        <v>1.2512980214660071E-2</v>
      </c>
      <c r="BU81" s="545">
        <f t="shared" si="157"/>
        <v>4.2864653438159442E-2</v>
      </c>
      <c r="BV81" s="545">
        <f t="shared" si="158"/>
        <v>2.0571428571428584E-2</v>
      </c>
      <c r="BW81" s="471">
        <f t="shared" si="171"/>
        <v>63.436082009588027</v>
      </c>
      <c r="BX81" s="178">
        <f t="shared" si="172"/>
        <v>0.2683220922210427</v>
      </c>
      <c r="BY81" s="5">
        <f t="shared" si="173"/>
        <v>3.6480000000000006</v>
      </c>
      <c r="BZ81" s="178">
        <f t="shared" si="174"/>
        <v>0.93148620417253003</v>
      </c>
      <c r="CA81" s="5">
        <f t="shared" si="175"/>
        <v>93.148620417252999</v>
      </c>
      <c r="CD81" s="580">
        <f t="shared" si="159"/>
        <v>-50</v>
      </c>
      <c r="CE81">
        <f t="shared" si="160"/>
        <v>-50</v>
      </c>
    </row>
    <row r="82" spans="5:83" x14ac:dyDescent="0.2">
      <c r="E82" s="175">
        <v>77</v>
      </c>
      <c r="F82" s="222">
        <f t="shared" si="161"/>
        <v>0.30800000000000005</v>
      </c>
      <c r="G82" s="222"/>
      <c r="H82" s="222">
        <f t="shared" si="113"/>
        <v>3.6960000000000006</v>
      </c>
      <c r="I82" s="558">
        <f t="shared" si="114"/>
        <v>24</v>
      </c>
      <c r="J82" s="177">
        <f t="shared" si="115"/>
        <v>24.5</v>
      </c>
      <c r="K82" s="453">
        <f t="shared" si="116"/>
        <v>48.5</v>
      </c>
      <c r="L82" s="453"/>
      <c r="M82" s="222">
        <f t="shared" si="117"/>
        <v>0.50515463917525771</v>
      </c>
      <c r="N82" s="177">
        <f t="shared" si="118"/>
        <v>8.3502061855670089</v>
      </c>
      <c r="O82" s="177">
        <f t="shared" si="162"/>
        <v>3.6960000000000006</v>
      </c>
      <c r="P82" s="222">
        <f t="shared" si="119"/>
        <v>0.69585051546391741</v>
      </c>
      <c r="Q82" s="222">
        <f t="shared" si="120"/>
        <v>12</v>
      </c>
      <c r="R82" s="222">
        <f t="shared" si="121"/>
        <v>0.73247422680412366</v>
      </c>
      <c r="S82" s="177">
        <f t="shared" si="122"/>
        <v>41.740276281026233</v>
      </c>
      <c r="T82" s="177">
        <f t="shared" si="123"/>
        <v>12</v>
      </c>
      <c r="U82" s="222">
        <f t="shared" si="124"/>
        <v>0.64180451127819571</v>
      </c>
      <c r="V82" s="222">
        <f t="shared" si="125"/>
        <v>2.2463157894736852</v>
      </c>
      <c r="W82" s="222">
        <f t="shared" si="126"/>
        <v>2.2004726100966709</v>
      </c>
      <c r="X82" s="202">
        <f t="shared" si="127"/>
        <v>350</v>
      </c>
      <c r="Y82" s="453">
        <f t="shared" si="163"/>
        <v>224.88139982028804</v>
      </c>
      <c r="AA82" s="222">
        <f t="shared" si="128"/>
        <v>0.41237113402061859</v>
      </c>
      <c r="AB82" s="178">
        <f t="shared" si="129"/>
        <v>1.4138438880706923</v>
      </c>
      <c r="AC82" s="178">
        <f t="shared" si="130"/>
        <v>0.20405994260814117</v>
      </c>
      <c r="AD82" s="178"/>
      <c r="AE82" s="178">
        <f t="shared" si="131"/>
        <v>0.99428571428571422</v>
      </c>
      <c r="AF82" s="562">
        <f t="shared" si="176"/>
        <v>1068.1728101466513</v>
      </c>
      <c r="AG82" s="545">
        <f t="shared" si="132"/>
        <v>0.10091999999999998</v>
      </c>
      <c r="AI82" s="178">
        <f t="shared" si="133"/>
        <v>0.51978403072477253</v>
      </c>
      <c r="AJ82" s="178">
        <f t="shared" si="134"/>
        <v>0.64180451127819571</v>
      </c>
      <c r="AK82" s="178">
        <f t="shared" si="135"/>
        <v>1.4605959342801449</v>
      </c>
      <c r="AM82" s="562">
        <f t="shared" si="136"/>
        <v>308.00000000000006</v>
      </c>
      <c r="AN82" s="471">
        <f t="shared" si="137"/>
        <v>224.88139982028804</v>
      </c>
      <c r="AP82">
        <f t="shared" si="138"/>
        <v>308.00000000000006</v>
      </c>
      <c r="AQ82">
        <f t="shared" si="139"/>
        <v>224.88139982028804</v>
      </c>
      <c r="AS82" s="5">
        <f t="shared" si="164"/>
        <v>4.4467883995703561</v>
      </c>
      <c r="AT82" s="5">
        <f t="shared" si="140"/>
        <v>2.2463157894736852</v>
      </c>
      <c r="AU82" s="5">
        <f t="shared" si="165"/>
        <v>2.2004726100966709</v>
      </c>
      <c r="AV82" s="5">
        <f t="shared" si="141"/>
        <v>2.2004726100966709</v>
      </c>
      <c r="AW82" s="178">
        <f t="shared" si="166"/>
        <v>0.50515463917525771</v>
      </c>
      <c r="AX82" s="178">
        <f t="shared" si="142"/>
        <v>3.8905263157894749</v>
      </c>
      <c r="AY82" s="178">
        <f t="shared" si="143"/>
        <v>0.31759398496240615</v>
      </c>
      <c r="AZ82" s="178">
        <f t="shared" si="167"/>
        <v>12.249999999999998</v>
      </c>
      <c r="BA82" s="471">
        <f t="shared" si="144"/>
        <v>5.7655438596491262</v>
      </c>
      <c r="BB82" s="5">
        <f t="shared" si="145"/>
        <v>0.29725682627621697</v>
      </c>
      <c r="BC82" s="5"/>
      <c r="BD82" s="178">
        <f t="shared" si="168"/>
        <v>0.26336272730042365</v>
      </c>
      <c r="BE82" s="178">
        <f t="shared" si="146"/>
        <v>0.52132299943341809</v>
      </c>
      <c r="BF82" s="178"/>
      <c r="BG82" s="545">
        <f t="shared" si="147"/>
        <v>2.4275974145891058E-2</v>
      </c>
      <c r="BH82" s="545">
        <f t="shared" si="148"/>
        <v>5.2499999999999998E-2</v>
      </c>
      <c r="BI82" s="545">
        <f t="shared" si="149"/>
        <v>2.8110174977536003E-3</v>
      </c>
      <c r="BJ82" s="545">
        <f t="shared" si="150"/>
        <v>2.6448863636363628E-2</v>
      </c>
      <c r="BK82">
        <f t="shared" si="151"/>
        <v>6.96E-3</v>
      </c>
      <c r="BL82" s="545">
        <f t="shared" si="152"/>
        <v>0.11395439693889435</v>
      </c>
      <c r="BM82" s="471">
        <f t="shared" si="169"/>
        <v>113.95439693889435</v>
      </c>
      <c r="BN82" s="545">
        <f t="shared" si="153"/>
        <v>9.240000000000001E-2</v>
      </c>
      <c r="BO82" s="545"/>
      <c r="BQ82" s="471">
        <f t="shared" si="170"/>
        <v>92.4</v>
      </c>
      <c r="BR82" s="545">
        <f t="shared" si="154"/>
        <v>6.5891929824561449E-3</v>
      </c>
      <c r="BS82" s="545">
        <f t="shared" si="155"/>
        <v>2.4459990276443005E-2</v>
      </c>
      <c r="BT82" s="545">
        <f t="shared" si="156"/>
        <v>1.2512980214660097E-2</v>
      </c>
      <c r="BU82" s="545">
        <f t="shared" si="157"/>
        <v>4.3670638486150416E-2</v>
      </c>
      <c r="BV82" s="545">
        <f t="shared" si="158"/>
        <v>2.0842105263157905E-2</v>
      </c>
      <c r="BW82" s="471">
        <f t="shared" si="171"/>
        <v>64.512743749308328</v>
      </c>
      <c r="BX82" s="178">
        <f t="shared" si="172"/>
        <v>0.27086714068820267</v>
      </c>
      <c r="BY82" s="5">
        <f t="shared" si="173"/>
        <v>3.6960000000000006</v>
      </c>
      <c r="BZ82" s="178">
        <f t="shared" si="174"/>
        <v>0.93171761718210444</v>
      </c>
      <c r="CA82" s="5">
        <f t="shared" si="175"/>
        <v>93.171761718210448</v>
      </c>
      <c r="CD82" s="580">
        <f t="shared" si="159"/>
        <v>-50</v>
      </c>
      <c r="CE82">
        <f t="shared" si="160"/>
        <v>-50</v>
      </c>
    </row>
    <row r="83" spans="5:83" x14ac:dyDescent="0.2">
      <c r="E83" s="175">
        <v>78</v>
      </c>
      <c r="F83" s="222">
        <f t="shared" si="161"/>
        <v>0.31200000000000006</v>
      </c>
      <c r="G83" s="222"/>
      <c r="H83" s="222">
        <f t="shared" si="113"/>
        <v>3.7440000000000007</v>
      </c>
      <c r="I83" s="558">
        <f t="shared" si="114"/>
        <v>24</v>
      </c>
      <c r="J83" s="177">
        <f t="shared" si="115"/>
        <v>24.5</v>
      </c>
      <c r="K83" s="453">
        <f t="shared" si="116"/>
        <v>48.5</v>
      </c>
      <c r="L83" s="453"/>
      <c r="M83" s="222">
        <f t="shared" si="117"/>
        <v>0.50515463917525771</v>
      </c>
      <c r="N83" s="177">
        <f t="shared" si="118"/>
        <v>8.3502061855670089</v>
      </c>
      <c r="O83" s="177">
        <f t="shared" si="162"/>
        <v>3.7440000000000007</v>
      </c>
      <c r="P83" s="222">
        <f t="shared" si="119"/>
        <v>0.69585051546391741</v>
      </c>
      <c r="Q83" s="222">
        <f t="shared" si="120"/>
        <v>12</v>
      </c>
      <c r="R83" s="222">
        <f t="shared" si="121"/>
        <v>0.73247422680412366</v>
      </c>
      <c r="S83" s="177">
        <f t="shared" si="122"/>
        <v>41.053402472111159</v>
      </c>
      <c r="T83" s="177">
        <f t="shared" si="123"/>
        <v>12</v>
      </c>
      <c r="U83" s="222">
        <f t="shared" si="124"/>
        <v>0.65013963480128911</v>
      </c>
      <c r="V83" s="222">
        <f t="shared" si="125"/>
        <v>2.2754887218045119</v>
      </c>
      <c r="W83" s="222">
        <f t="shared" si="126"/>
        <v>2.2290501764615627</v>
      </c>
      <c r="X83" s="202">
        <f t="shared" si="127"/>
        <v>350</v>
      </c>
      <c r="Y83" s="453">
        <f t="shared" si="163"/>
        <v>221.99830495079718</v>
      </c>
      <c r="AA83" s="222">
        <f t="shared" si="128"/>
        <v>0.41237113402061859</v>
      </c>
      <c r="AB83" s="178">
        <f t="shared" si="129"/>
        <v>1.4138438880706923</v>
      </c>
      <c r="AC83" s="178">
        <f t="shared" si="130"/>
        <v>0.20405994260814117</v>
      </c>
      <c r="AD83" s="178"/>
      <c r="AE83" s="178">
        <f t="shared" si="131"/>
        <v>0.99428571428571422</v>
      </c>
      <c r="AF83" s="562">
        <f t="shared" si="176"/>
        <v>1082.0451843044</v>
      </c>
      <c r="AG83" s="545">
        <f t="shared" si="132"/>
        <v>0.10091999999999998</v>
      </c>
      <c r="AI83" s="178">
        <f t="shared" si="133"/>
        <v>0.52314836378059704</v>
      </c>
      <c r="AJ83" s="178">
        <f t="shared" si="134"/>
        <v>0.65013963480128911</v>
      </c>
      <c r="AK83" s="178">
        <f t="shared" si="135"/>
        <v>1.4667700998528068</v>
      </c>
      <c r="AM83" s="562">
        <f t="shared" si="136"/>
        <v>312.00000000000006</v>
      </c>
      <c r="AN83" s="471">
        <f t="shared" si="137"/>
        <v>221.99830495079718</v>
      </c>
      <c r="AP83">
        <f t="shared" si="138"/>
        <v>312.00000000000006</v>
      </c>
      <c r="AQ83">
        <f t="shared" si="139"/>
        <v>221.99830495079718</v>
      </c>
      <c r="AS83" s="5">
        <f t="shared" si="164"/>
        <v>4.504538898266075</v>
      </c>
      <c r="AT83" s="5">
        <f t="shared" si="140"/>
        <v>2.2754887218045119</v>
      </c>
      <c r="AU83" s="5">
        <f t="shared" si="165"/>
        <v>2.2290501764615631</v>
      </c>
      <c r="AV83" s="5">
        <f t="shared" si="141"/>
        <v>2.2290501764615627</v>
      </c>
      <c r="AW83" s="178">
        <f t="shared" si="166"/>
        <v>0.50515463917525771</v>
      </c>
      <c r="AX83" s="178">
        <f t="shared" si="142"/>
        <v>3.9410526315789474</v>
      </c>
      <c r="AY83" s="178">
        <f t="shared" si="143"/>
        <v>0.32171858216971011</v>
      </c>
      <c r="AZ83" s="178">
        <f t="shared" si="167"/>
        <v>12.249999999999995</v>
      </c>
      <c r="BA83" s="471">
        <f t="shared" si="144"/>
        <v>5.9162706766917319</v>
      </c>
      <c r="BB83" s="5">
        <f t="shared" si="145"/>
        <v>0.30502791888421388</v>
      </c>
      <c r="BC83" s="5"/>
      <c r="BD83" s="178">
        <f t="shared" si="168"/>
        <v>0.26678302246016938</v>
      </c>
      <c r="BE83" s="178">
        <f t="shared" si="146"/>
        <v>0.52809342799748837</v>
      </c>
      <c r="BF83" s="178"/>
      <c r="BG83" s="545">
        <f t="shared" si="147"/>
        <v>2.4910613375544136E-2</v>
      </c>
      <c r="BH83" s="545">
        <f t="shared" si="148"/>
        <v>5.2499999999999998E-2</v>
      </c>
      <c r="BI83" s="545">
        <f t="shared" si="149"/>
        <v>2.7749788118849646E-3</v>
      </c>
      <c r="BJ83" s="545">
        <f t="shared" si="150"/>
        <v>2.6109775641025634E-2</v>
      </c>
      <c r="BK83">
        <f t="shared" si="151"/>
        <v>6.96E-3</v>
      </c>
      <c r="BL83" s="545">
        <f t="shared" si="152"/>
        <v>0.11424144601533157</v>
      </c>
      <c r="BM83" s="471">
        <f t="shared" si="169"/>
        <v>114.24144601533156</v>
      </c>
      <c r="BN83" s="545">
        <f t="shared" si="153"/>
        <v>9.3600000000000017E-2</v>
      </c>
      <c r="BO83" s="545"/>
      <c r="BQ83" s="471">
        <f t="shared" si="170"/>
        <v>93.600000000000023</v>
      </c>
      <c r="BR83" s="545">
        <f t="shared" si="154"/>
        <v>6.7614522019334086E-3</v>
      </c>
      <c r="BS83" s="545">
        <f t="shared" si="155"/>
        <v>2.5099440182472458E-2</v>
      </c>
      <c r="BT83" s="545">
        <f t="shared" si="156"/>
        <v>1.2512980214660069E-2</v>
      </c>
      <c r="BU83" s="545">
        <f t="shared" si="157"/>
        <v>4.4487264915862808E-2</v>
      </c>
      <c r="BV83" s="545">
        <f t="shared" si="158"/>
        <v>2.1112781954887222E-2</v>
      </c>
      <c r="BW83" s="471">
        <f t="shared" si="171"/>
        <v>65.60004687075002</v>
      </c>
      <c r="BX83" s="178">
        <f t="shared" si="172"/>
        <v>0.27344149288608166</v>
      </c>
      <c r="BY83" s="5">
        <f t="shared" si="173"/>
        <v>3.7440000000000007</v>
      </c>
      <c r="BZ83" s="178">
        <f t="shared" si="174"/>
        <v>0.93193640943613487</v>
      </c>
      <c r="CA83" s="5">
        <f t="shared" si="175"/>
        <v>93.193640943613488</v>
      </c>
      <c r="CD83" s="580">
        <f t="shared" si="159"/>
        <v>-50</v>
      </c>
      <c r="CE83">
        <f t="shared" si="160"/>
        <v>-50</v>
      </c>
    </row>
    <row r="84" spans="5:83" x14ac:dyDescent="0.2">
      <c r="E84" s="175">
        <v>79</v>
      </c>
      <c r="F84" s="222">
        <f t="shared" si="161"/>
        <v>0.31600000000000006</v>
      </c>
      <c r="G84" s="222"/>
      <c r="H84" s="222">
        <f t="shared" si="113"/>
        <v>3.7920000000000007</v>
      </c>
      <c r="I84" s="558">
        <f t="shared" si="114"/>
        <v>24</v>
      </c>
      <c r="J84" s="177">
        <f t="shared" si="115"/>
        <v>24.5</v>
      </c>
      <c r="K84" s="453">
        <f t="shared" si="116"/>
        <v>48.5</v>
      </c>
      <c r="L84" s="453"/>
      <c r="M84" s="222">
        <f t="shared" si="117"/>
        <v>0.50515463917525771</v>
      </c>
      <c r="N84" s="177">
        <f t="shared" si="118"/>
        <v>8.3502061855670089</v>
      </c>
      <c r="O84" s="177">
        <f t="shared" si="162"/>
        <v>3.7920000000000007</v>
      </c>
      <c r="P84" s="222">
        <f t="shared" si="119"/>
        <v>0.69585051546391741</v>
      </c>
      <c r="Q84" s="222">
        <f t="shared" si="120"/>
        <v>12</v>
      </c>
      <c r="R84" s="222">
        <f t="shared" si="121"/>
        <v>0.73247422680412366</v>
      </c>
      <c r="S84" s="177">
        <f t="shared" si="122"/>
        <v>40.383956459096389</v>
      </c>
      <c r="T84" s="177">
        <f t="shared" si="123"/>
        <v>12</v>
      </c>
      <c r="U84" s="222">
        <f t="shared" si="124"/>
        <v>0.65847475832438263</v>
      </c>
      <c r="V84" s="222">
        <f t="shared" si="125"/>
        <v>2.3046616541353391</v>
      </c>
      <c r="W84" s="222">
        <f t="shared" si="126"/>
        <v>2.2576277428264544</v>
      </c>
      <c r="X84" s="202">
        <f t="shared" si="127"/>
        <v>350</v>
      </c>
      <c r="Y84" s="453">
        <f t="shared" si="163"/>
        <v>219.18819982483777</v>
      </c>
      <c r="AA84" s="222">
        <f t="shared" si="128"/>
        <v>0.41237113402061859</v>
      </c>
      <c r="AB84" s="178">
        <f t="shared" si="129"/>
        <v>1.4138438880706923</v>
      </c>
      <c r="AC84" s="178">
        <f t="shared" si="130"/>
        <v>0.20405994260814117</v>
      </c>
      <c r="AD84" s="178"/>
      <c r="AE84" s="178">
        <f t="shared" si="131"/>
        <v>0.99428571428571422</v>
      </c>
      <c r="AF84" s="562">
        <f t="shared" si="176"/>
        <v>1095.9175584621487</v>
      </c>
      <c r="AG84" s="545">
        <f t="shared" si="132"/>
        <v>0.10091999999999998</v>
      </c>
      <c r="AI84" s="178">
        <f t="shared" si="133"/>
        <v>0.52649119884015194</v>
      </c>
      <c r="AJ84" s="178">
        <f t="shared" si="134"/>
        <v>0.65847475832438263</v>
      </c>
      <c r="AK84" s="178">
        <f t="shared" si="135"/>
        <v>1.4729442654254685</v>
      </c>
      <c r="AM84" s="562">
        <f t="shared" si="136"/>
        <v>316.00000000000006</v>
      </c>
      <c r="AN84" s="471">
        <f t="shared" si="137"/>
        <v>219.18819982483777</v>
      </c>
      <c r="AP84">
        <f t="shared" si="138"/>
        <v>316.00000000000006</v>
      </c>
      <c r="AQ84">
        <f t="shared" si="139"/>
        <v>219.18819982483777</v>
      </c>
      <c r="AS84" s="5">
        <f t="shared" si="164"/>
        <v>4.562289396961793</v>
      </c>
      <c r="AT84" s="5">
        <f t="shared" si="140"/>
        <v>2.3046616541353391</v>
      </c>
      <c r="AU84" s="5">
        <f t="shared" si="165"/>
        <v>2.257627742826454</v>
      </c>
      <c r="AV84" s="5">
        <f t="shared" si="141"/>
        <v>2.2576277428264544</v>
      </c>
      <c r="AW84" s="178">
        <f t="shared" si="166"/>
        <v>0.50515463917525782</v>
      </c>
      <c r="AX84" s="178">
        <f t="shared" si="142"/>
        <v>3.9915789473684233</v>
      </c>
      <c r="AY84" s="178">
        <f t="shared" si="143"/>
        <v>0.32584317937701401</v>
      </c>
      <c r="AZ84" s="178">
        <f t="shared" si="167"/>
        <v>12.250000000000005</v>
      </c>
      <c r="BA84" s="471">
        <f t="shared" si="144"/>
        <v>6.0689423558897273</v>
      </c>
      <c r="BB84" s="5">
        <f t="shared" si="145"/>
        <v>0.3128992836548945</v>
      </c>
      <c r="BC84" s="5"/>
      <c r="BD84" s="178">
        <f t="shared" si="168"/>
        <v>0.27020331761991523</v>
      </c>
      <c r="BE84" s="178">
        <f t="shared" si="146"/>
        <v>0.53486385656155866</v>
      </c>
      <c r="BF84" s="178"/>
      <c r="BG84" s="545">
        <f t="shared" si="147"/>
        <v>2.5553441498483077E-2</v>
      </c>
      <c r="BH84" s="545">
        <f t="shared" si="148"/>
        <v>5.2500000000000012E-2</v>
      </c>
      <c r="BI84" s="545">
        <f t="shared" si="149"/>
        <v>2.7398524978104718E-3</v>
      </c>
      <c r="BJ84" s="545">
        <f t="shared" si="150"/>
        <v>2.5779272151898732E-2</v>
      </c>
      <c r="BK84">
        <f t="shared" si="151"/>
        <v>6.96E-3</v>
      </c>
      <c r="BL84" s="545">
        <f t="shared" si="152"/>
        <v>0.11454679410205956</v>
      </c>
      <c r="BM84" s="471">
        <f t="shared" si="169"/>
        <v>114.54679410205956</v>
      </c>
      <c r="BN84" s="545">
        <f t="shared" si="153"/>
        <v>9.4800000000000009E-2</v>
      </c>
      <c r="BO84" s="545"/>
      <c r="BQ84" s="471">
        <f t="shared" si="170"/>
        <v>94.800000000000011</v>
      </c>
      <c r="BR84" s="545">
        <f t="shared" si="154"/>
        <v>6.9359341210168349E-3</v>
      </c>
      <c r="BS84" s="545">
        <f t="shared" si="155"/>
        <v>2.5747141055031324E-2</v>
      </c>
      <c r="BT84" s="545">
        <f t="shared" si="156"/>
        <v>1.25129802146601E-2</v>
      </c>
      <c r="BU84" s="545">
        <f t="shared" si="157"/>
        <v>4.5314536863899517E-2</v>
      </c>
      <c r="BV84" s="545">
        <f t="shared" si="158"/>
        <v>2.1383458646616553E-2</v>
      </c>
      <c r="BW84" s="471">
        <f t="shared" si="171"/>
        <v>66.697995510516066</v>
      </c>
      <c r="BX84" s="178">
        <f t="shared" si="172"/>
        <v>0.27604478961257567</v>
      </c>
      <c r="BY84" s="5">
        <f t="shared" si="173"/>
        <v>3.7920000000000007</v>
      </c>
      <c r="BZ84" s="178">
        <f t="shared" si="174"/>
        <v>0.93214312922083997</v>
      </c>
      <c r="CA84" s="5">
        <f t="shared" si="175"/>
        <v>93.214312922083991</v>
      </c>
      <c r="CD84" s="580">
        <f t="shared" si="159"/>
        <v>-50</v>
      </c>
      <c r="CE84">
        <f t="shared" si="160"/>
        <v>-50</v>
      </c>
    </row>
    <row r="85" spans="5:83" x14ac:dyDescent="0.2">
      <c r="E85" s="175">
        <v>80</v>
      </c>
      <c r="F85" s="222">
        <f t="shared" si="161"/>
        <v>0.32000000000000006</v>
      </c>
      <c r="G85" s="222"/>
      <c r="H85" s="222">
        <f t="shared" si="113"/>
        <v>3.8400000000000007</v>
      </c>
      <c r="I85" s="558">
        <f t="shared" si="114"/>
        <v>24</v>
      </c>
      <c r="J85" s="177">
        <f t="shared" si="115"/>
        <v>24.5</v>
      </c>
      <c r="K85" s="453">
        <f t="shared" si="116"/>
        <v>48.5</v>
      </c>
      <c r="L85" s="453"/>
      <c r="M85" s="222">
        <f t="shared" si="117"/>
        <v>0.50515463917525771</v>
      </c>
      <c r="N85" s="177">
        <f t="shared" si="118"/>
        <v>8.3502061855670089</v>
      </c>
      <c r="O85" s="177">
        <f t="shared" si="162"/>
        <v>3.8400000000000007</v>
      </c>
      <c r="P85" s="222">
        <f t="shared" si="119"/>
        <v>0.69585051546391741</v>
      </c>
      <c r="Q85" s="222">
        <f t="shared" si="120"/>
        <v>12</v>
      </c>
      <c r="R85" s="222">
        <f t="shared" si="121"/>
        <v>0.73247422680412366</v>
      </c>
      <c r="S85" s="177">
        <f t="shared" si="122"/>
        <v>39.731285106850159</v>
      </c>
      <c r="T85" s="177">
        <f t="shared" si="123"/>
        <v>12</v>
      </c>
      <c r="U85" s="222">
        <f t="shared" si="124"/>
        <v>0.66680988184747603</v>
      </c>
      <c r="V85" s="222">
        <f t="shared" si="125"/>
        <v>2.3338345864661663</v>
      </c>
      <c r="W85" s="222">
        <f t="shared" si="126"/>
        <v>2.2862053091913461</v>
      </c>
      <c r="X85" s="202">
        <f t="shared" si="127"/>
        <v>350</v>
      </c>
      <c r="Y85" s="453">
        <f t="shared" si="163"/>
        <v>216.44834732702722</v>
      </c>
      <c r="AA85" s="222">
        <f t="shared" si="128"/>
        <v>0.41237113402061859</v>
      </c>
      <c r="AB85" s="178">
        <f t="shared" si="129"/>
        <v>1.4138438880706923</v>
      </c>
      <c r="AC85" s="178">
        <f t="shared" si="130"/>
        <v>0.20405994260814117</v>
      </c>
      <c r="AD85" s="178"/>
      <c r="AE85" s="178">
        <f t="shared" si="131"/>
        <v>0.99428571428571422</v>
      </c>
      <c r="AF85" s="562">
        <f t="shared" si="176"/>
        <v>1109.7899326198974</v>
      </c>
      <c r="AG85" s="545">
        <f t="shared" si="132"/>
        <v>0.10091999999999998</v>
      </c>
      <c r="AI85" s="178">
        <f t="shared" si="133"/>
        <v>0.52981294282601765</v>
      </c>
      <c r="AJ85" s="178">
        <f t="shared" si="134"/>
        <v>0.66680988184747603</v>
      </c>
      <c r="AK85" s="178">
        <f t="shared" si="135"/>
        <v>1.4791184309981305</v>
      </c>
      <c r="AM85" s="562">
        <f t="shared" si="136"/>
        <v>320.00000000000006</v>
      </c>
      <c r="AN85" s="471">
        <f t="shared" si="137"/>
        <v>216.44834732702722</v>
      </c>
      <c r="AP85">
        <f t="shared" si="138"/>
        <v>320.00000000000006</v>
      </c>
      <c r="AQ85">
        <f t="shared" si="139"/>
        <v>216.44834732702722</v>
      </c>
      <c r="AS85" s="5">
        <f t="shared" si="164"/>
        <v>4.6200398956575128</v>
      </c>
      <c r="AT85" s="5">
        <f t="shared" si="140"/>
        <v>2.3338345864661663</v>
      </c>
      <c r="AU85" s="5">
        <f t="shared" si="165"/>
        <v>2.2862053091913466</v>
      </c>
      <c r="AV85" s="5">
        <f t="shared" si="141"/>
        <v>2.2862053091913461</v>
      </c>
      <c r="AW85" s="178">
        <f t="shared" si="166"/>
        <v>0.50515463917525771</v>
      </c>
      <c r="AX85" s="178">
        <f t="shared" si="142"/>
        <v>4.0421052631578958</v>
      </c>
      <c r="AY85" s="178">
        <f t="shared" si="143"/>
        <v>0.32996777658431803</v>
      </c>
      <c r="AZ85" s="178">
        <f t="shared" si="167"/>
        <v>12.25</v>
      </c>
      <c r="BA85" s="471">
        <f t="shared" si="144"/>
        <v>6.2235588972431124</v>
      </c>
      <c r="BB85" s="5">
        <f t="shared" si="145"/>
        <v>0.32087092058825922</v>
      </c>
      <c r="BC85" s="5"/>
      <c r="BD85" s="178">
        <f t="shared" si="168"/>
        <v>0.27362361277966091</v>
      </c>
      <c r="BE85" s="178">
        <f t="shared" si="146"/>
        <v>0.54163428512562906</v>
      </c>
      <c r="BF85" s="178"/>
      <c r="BG85" s="545">
        <f t="shared" si="147"/>
        <v>2.6204458514707832E-2</v>
      </c>
      <c r="BH85" s="545">
        <f t="shared" si="148"/>
        <v>5.2499999999999998E-2</v>
      </c>
      <c r="BI85" s="545">
        <f t="shared" si="149"/>
        <v>2.70560434158784E-3</v>
      </c>
      <c r="BJ85" s="545">
        <f t="shared" si="150"/>
        <v>2.5457031249999991E-2</v>
      </c>
      <c r="BK85">
        <f t="shared" si="151"/>
        <v>6.96E-3</v>
      </c>
      <c r="BL85" s="545">
        <f t="shared" si="152"/>
        <v>0.11487009676574464</v>
      </c>
      <c r="BM85" s="471">
        <f t="shared" si="169"/>
        <v>114.87009676574463</v>
      </c>
      <c r="BN85" s="545">
        <f t="shared" si="153"/>
        <v>9.6000000000000016E-2</v>
      </c>
      <c r="BO85" s="545"/>
      <c r="BQ85" s="471">
        <f t="shared" si="170"/>
        <v>96.000000000000014</v>
      </c>
      <c r="BR85" s="545">
        <f t="shared" si="154"/>
        <v>7.1126387397064126E-3</v>
      </c>
      <c r="BS85" s="545">
        <f t="shared" si="155"/>
        <v>2.6403092894119611E-2</v>
      </c>
      <c r="BT85" s="545">
        <f t="shared" si="156"/>
        <v>1.2512980214660073E-2</v>
      </c>
      <c r="BU85" s="545">
        <f t="shared" si="157"/>
        <v>4.6152458521610228E-2</v>
      </c>
      <c r="BV85" s="545">
        <f t="shared" si="158"/>
        <v>2.165413533834587E-2</v>
      </c>
      <c r="BW85" s="471">
        <f t="shared" si="171"/>
        <v>67.806593859956109</v>
      </c>
      <c r="BX85" s="178">
        <f t="shared" si="172"/>
        <v>0.27867669062570072</v>
      </c>
      <c r="BY85" s="5">
        <f t="shared" si="173"/>
        <v>3.8400000000000007</v>
      </c>
      <c r="BZ85" s="178">
        <f t="shared" si="174"/>
        <v>0.93233829417589842</v>
      </c>
      <c r="CA85" s="5">
        <f t="shared" si="175"/>
        <v>93.233829417589845</v>
      </c>
      <c r="CD85" s="580">
        <f t="shared" si="159"/>
        <v>-50</v>
      </c>
      <c r="CE85">
        <f t="shared" si="160"/>
        <v>-50</v>
      </c>
    </row>
    <row r="86" spans="5:83" x14ac:dyDescent="0.2">
      <c r="E86" s="175">
        <v>81</v>
      </c>
      <c r="F86" s="222">
        <f t="shared" si="161"/>
        <v>0.32400000000000007</v>
      </c>
      <c r="G86" s="222"/>
      <c r="H86" s="222">
        <f t="shared" si="113"/>
        <v>3.8880000000000008</v>
      </c>
      <c r="I86" s="558">
        <f t="shared" si="114"/>
        <v>24</v>
      </c>
      <c r="J86" s="177">
        <f t="shared" si="115"/>
        <v>24.5</v>
      </c>
      <c r="K86" s="453">
        <f t="shared" si="116"/>
        <v>48.5</v>
      </c>
      <c r="L86" s="453"/>
      <c r="M86" s="222">
        <f t="shared" si="117"/>
        <v>0.50515463917525771</v>
      </c>
      <c r="N86" s="177">
        <f t="shared" si="118"/>
        <v>8.3502061855670089</v>
      </c>
      <c r="O86" s="177">
        <f t="shared" si="162"/>
        <v>3.8880000000000008</v>
      </c>
      <c r="P86" s="222">
        <f t="shared" si="119"/>
        <v>0.69585051546391741</v>
      </c>
      <c r="Q86" s="222">
        <f t="shared" si="120"/>
        <v>12</v>
      </c>
      <c r="R86" s="222">
        <f t="shared" si="121"/>
        <v>0.73247422680412366</v>
      </c>
      <c r="S86" s="177">
        <f t="shared" si="122"/>
        <v>39.09476753935715</v>
      </c>
      <c r="T86" s="177">
        <f t="shared" si="123"/>
        <v>12</v>
      </c>
      <c r="U86" s="222">
        <f t="shared" si="124"/>
        <v>0.67514500537056954</v>
      </c>
      <c r="V86" s="222">
        <f t="shared" si="125"/>
        <v>2.3630075187969934</v>
      </c>
      <c r="W86" s="222">
        <f t="shared" si="126"/>
        <v>2.3147828755562383</v>
      </c>
      <c r="X86" s="202">
        <f t="shared" si="127"/>
        <v>350</v>
      </c>
      <c r="Y86" s="453">
        <f t="shared" si="163"/>
        <v>213.77614550817506</v>
      </c>
      <c r="AA86" s="222">
        <f t="shared" si="128"/>
        <v>0.41237113402061859</v>
      </c>
      <c r="AB86" s="178">
        <f t="shared" si="129"/>
        <v>1.4138438880706923</v>
      </c>
      <c r="AC86" s="178">
        <f t="shared" si="130"/>
        <v>0.20405994260814117</v>
      </c>
      <c r="AD86" s="178"/>
      <c r="AE86" s="178">
        <f t="shared" si="131"/>
        <v>0.99428571428571422</v>
      </c>
      <c r="AF86" s="562">
        <f t="shared" si="176"/>
        <v>1123.6623067776461</v>
      </c>
      <c r="AG86" s="545">
        <f t="shared" si="132"/>
        <v>0.10091999999999998</v>
      </c>
      <c r="AI86" s="178">
        <f t="shared" si="133"/>
        <v>0.53311398998318316</v>
      </c>
      <c r="AJ86" s="178">
        <f t="shared" si="134"/>
        <v>0.67514500537056954</v>
      </c>
      <c r="AK86" s="178">
        <f t="shared" si="135"/>
        <v>1.4852925965707922</v>
      </c>
      <c r="AM86" s="562">
        <f t="shared" si="136"/>
        <v>324.00000000000006</v>
      </c>
      <c r="AN86" s="471">
        <f t="shared" si="137"/>
        <v>213.77614550817506</v>
      </c>
      <c r="AP86">
        <f t="shared" si="138"/>
        <v>324.00000000000006</v>
      </c>
      <c r="AQ86">
        <f t="shared" si="139"/>
        <v>213.77614550817506</v>
      </c>
      <c r="AS86" s="5">
        <f t="shared" si="164"/>
        <v>4.6777903943532317</v>
      </c>
      <c r="AT86" s="5">
        <f t="shared" si="140"/>
        <v>2.3630075187969934</v>
      </c>
      <c r="AU86" s="5">
        <f t="shared" si="165"/>
        <v>2.3147828755562383</v>
      </c>
      <c r="AV86" s="5">
        <f t="shared" si="141"/>
        <v>2.3147828755562383</v>
      </c>
      <c r="AW86" s="178">
        <f t="shared" si="166"/>
        <v>0.50515463917525771</v>
      </c>
      <c r="AX86" s="178">
        <f t="shared" si="142"/>
        <v>4.09263157894737</v>
      </c>
      <c r="AY86" s="178">
        <f t="shared" si="143"/>
        <v>0.33409237379162204</v>
      </c>
      <c r="AZ86" s="178">
        <f t="shared" si="167"/>
        <v>12.25</v>
      </c>
      <c r="BA86" s="471">
        <f t="shared" si="144"/>
        <v>6.3801203007518836</v>
      </c>
      <c r="BB86" s="5">
        <f t="shared" si="145"/>
        <v>0.3289428296843076</v>
      </c>
      <c r="BC86" s="5"/>
      <c r="BD86" s="178">
        <f t="shared" si="168"/>
        <v>0.2770439079394067</v>
      </c>
      <c r="BE86" s="178">
        <f t="shared" si="146"/>
        <v>0.54840471368969956</v>
      </c>
      <c r="BF86" s="178"/>
      <c r="BG86" s="545">
        <f t="shared" si="147"/>
        <v>2.6863664424218454E-2</v>
      </c>
      <c r="BH86" s="545">
        <f t="shared" si="148"/>
        <v>5.2500000000000005E-2</v>
      </c>
      <c r="BI86" s="545">
        <f t="shared" si="149"/>
        <v>2.6722018188521882E-3</v>
      </c>
      <c r="BJ86" s="545">
        <f t="shared" si="150"/>
        <v>2.514274691358024E-2</v>
      </c>
      <c r="BK86">
        <f t="shared" si="151"/>
        <v>6.96E-3</v>
      </c>
      <c r="BL86" s="545">
        <f t="shared" si="152"/>
        <v>0.11521102732191597</v>
      </c>
      <c r="BM86" s="471">
        <f t="shared" si="169"/>
        <v>115.21102732191598</v>
      </c>
      <c r="BN86" s="545">
        <f t="shared" si="153"/>
        <v>9.7200000000000022E-2</v>
      </c>
      <c r="BO86" s="545"/>
      <c r="BQ86" s="471">
        <f t="shared" si="170"/>
        <v>97.200000000000017</v>
      </c>
      <c r="BR86" s="545">
        <f t="shared" si="154"/>
        <v>7.2915660580021528E-3</v>
      </c>
      <c r="BS86" s="545">
        <f t="shared" si="155"/>
        <v>2.7067295699737318E-2</v>
      </c>
      <c r="BT86" s="545">
        <f t="shared" si="156"/>
        <v>1.251298021466009E-2</v>
      </c>
      <c r="BU86" s="545">
        <f t="shared" si="157"/>
        <v>4.7001034135145184E-2</v>
      </c>
      <c r="BV86" s="545">
        <f t="shared" si="158"/>
        <v>2.1924812030075198E-2</v>
      </c>
      <c r="BW86" s="471">
        <f t="shared" si="171"/>
        <v>68.925846165220378</v>
      </c>
      <c r="BX86" s="178">
        <f t="shared" si="172"/>
        <v>0.28133687348713637</v>
      </c>
      <c r="BY86" s="5">
        <f t="shared" si="173"/>
        <v>3.8880000000000008</v>
      </c>
      <c r="BZ86" s="178">
        <f t="shared" si="174"/>
        <v>0.93252239336280041</v>
      </c>
      <c r="CA86" s="5">
        <f t="shared" si="175"/>
        <v>93.252239336280041</v>
      </c>
      <c r="CD86" s="580">
        <f t="shared" si="159"/>
        <v>-50</v>
      </c>
      <c r="CE86">
        <f t="shared" si="160"/>
        <v>-50</v>
      </c>
    </row>
    <row r="87" spans="5:83" x14ac:dyDescent="0.2">
      <c r="E87" s="175">
        <v>82</v>
      </c>
      <c r="F87" s="222">
        <f t="shared" si="161"/>
        <v>0.32800000000000001</v>
      </c>
      <c r="G87" s="222"/>
      <c r="H87" s="222">
        <f t="shared" si="113"/>
        <v>3.9359999999999999</v>
      </c>
      <c r="I87" s="558">
        <f t="shared" si="114"/>
        <v>24</v>
      </c>
      <c r="J87" s="177">
        <f t="shared" si="115"/>
        <v>24.5</v>
      </c>
      <c r="K87" s="453">
        <f t="shared" si="116"/>
        <v>48.5</v>
      </c>
      <c r="L87" s="453"/>
      <c r="M87" s="222">
        <f t="shared" si="117"/>
        <v>0.50515463917525771</v>
      </c>
      <c r="N87" s="177">
        <f t="shared" si="118"/>
        <v>8.3502061855670089</v>
      </c>
      <c r="O87" s="177">
        <f t="shared" si="162"/>
        <v>3.9359999999999999</v>
      </c>
      <c r="P87" s="222">
        <f t="shared" si="119"/>
        <v>0.69585051546391741</v>
      </c>
      <c r="Q87" s="222">
        <f t="shared" si="120"/>
        <v>12</v>
      </c>
      <c r="R87" s="222">
        <f t="shared" si="121"/>
        <v>0.73247422680412366</v>
      </c>
      <c r="S87" s="177">
        <f t="shared" si="122"/>
        <v>38.473813172789264</v>
      </c>
      <c r="T87" s="177">
        <f t="shared" si="123"/>
        <v>12</v>
      </c>
      <c r="U87" s="222">
        <f t="shared" si="124"/>
        <v>0.68348012889366283</v>
      </c>
      <c r="V87" s="222">
        <f t="shared" si="125"/>
        <v>2.3921804511278197</v>
      </c>
      <c r="W87" s="222">
        <f t="shared" si="126"/>
        <v>2.3433604419211296</v>
      </c>
      <c r="X87" s="202">
        <f t="shared" si="127"/>
        <v>350</v>
      </c>
      <c r="Y87" s="453">
        <f t="shared" si="163"/>
        <v>211.16911934344128</v>
      </c>
      <c r="AA87" s="222">
        <f t="shared" si="128"/>
        <v>0.41237113402061859</v>
      </c>
      <c r="AB87" s="178">
        <f t="shared" si="129"/>
        <v>1.4138438880706923</v>
      </c>
      <c r="AC87" s="178">
        <f t="shared" si="130"/>
        <v>0.20405994260814117</v>
      </c>
      <c r="AD87" s="178"/>
      <c r="AE87" s="178">
        <f t="shared" si="131"/>
        <v>0.99428571428571422</v>
      </c>
      <c r="AF87" s="562">
        <f t="shared" si="176"/>
        <v>1137.5346809353948</v>
      </c>
      <c r="AG87" s="545">
        <f t="shared" si="132"/>
        <v>0.10091999999999998</v>
      </c>
      <c r="AI87" s="178">
        <f t="shared" si="133"/>
        <v>0.53639472242520625</v>
      </c>
      <c r="AJ87" s="178">
        <f t="shared" si="134"/>
        <v>0.68348012889366283</v>
      </c>
      <c r="AK87" s="178">
        <f t="shared" si="135"/>
        <v>1.4914667621434539</v>
      </c>
      <c r="AM87" s="562">
        <f t="shared" si="136"/>
        <v>328</v>
      </c>
      <c r="AN87" s="471">
        <f t="shared" si="137"/>
        <v>211.16911934344128</v>
      </c>
      <c r="AP87">
        <f t="shared" si="138"/>
        <v>328</v>
      </c>
      <c r="AQ87">
        <f t="shared" si="139"/>
        <v>211.16911934344128</v>
      </c>
      <c r="AS87" s="5">
        <f t="shared" si="164"/>
        <v>4.7355408930489489</v>
      </c>
      <c r="AT87" s="5">
        <f t="shared" si="140"/>
        <v>2.3921804511278197</v>
      </c>
      <c r="AU87" s="5">
        <f t="shared" si="165"/>
        <v>2.3433604419211291</v>
      </c>
      <c r="AV87" s="5">
        <f t="shared" si="141"/>
        <v>2.3433604419211296</v>
      </c>
      <c r="AW87" s="178">
        <f t="shared" si="166"/>
        <v>0.50515463917525782</v>
      </c>
      <c r="AX87" s="178">
        <f t="shared" si="142"/>
        <v>4.1431578947368433</v>
      </c>
      <c r="AY87" s="178">
        <f t="shared" si="143"/>
        <v>0.33821697099892589</v>
      </c>
      <c r="AZ87" s="178">
        <f t="shared" si="167"/>
        <v>12.250000000000004</v>
      </c>
      <c r="BA87" s="471">
        <f t="shared" si="144"/>
        <v>6.538626566416041</v>
      </c>
      <c r="BB87" s="5">
        <f t="shared" si="145"/>
        <v>0.33711501094303964</v>
      </c>
      <c r="BC87" s="5"/>
      <c r="BD87" s="178">
        <f t="shared" si="168"/>
        <v>0.28046420309915243</v>
      </c>
      <c r="BE87" s="178">
        <f t="shared" si="146"/>
        <v>0.55517514225376974</v>
      </c>
      <c r="BF87" s="178"/>
      <c r="BG87" s="545">
        <f t="shared" si="147"/>
        <v>2.7531059227014917E-2</v>
      </c>
      <c r="BH87" s="545">
        <f t="shared" si="148"/>
        <v>5.2500000000000012E-2</v>
      </c>
      <c r="BI87" s="545">
        <f t="shared" si="149"/>
        <v>2.6396139917930161E-3</v>
      </c>
      <c r="BJ87" s="545">
        <f t="shared" si="150"/>
        <v>2.4836128048780489E-2</v>
      </c>
      <c r="BK87">
        <f t="shared" si="151"/>
        <v>6.96E-3</v>
      </c>
      <c r="BL87" s="545">
        <f t="shared" si="152"/>
        <v>0.11556927576312315</v>
      </c>
      <c r="BM87" s="471">
        <f t="shared" si="169"/>
        <v>115.56927576312314</v>
      </c>
      <c r="BN87" s="545">
        <f t="shared" si="153"/>
        <v>9.8400000000000001E-2</v>
      </c>
      <c r="BO87" s="545"/>
      <c r="BQ87" s="471">
        <f t="shared" si="170"/>
        <v>98.4</v>
      </c>
      <c r="BR87" s="545">
        <f t="shared" si="154"/>
        <v>7.4727160759040494E-3</v>
      </c>
      <c r="BS87" s="545">
        <f t="shared" si="155"/>
        <v>2.7739749471884411E-2</v>
      </c>
      <c r="BT87" s="545">
        <f t="shared" si="156"/>
        <v>1.2512980214660076E-2</v>
      </c>
      <c r="BU87" s="545">
        <f t="shared" si="157"/>
        <v>4.7860268005508688E-2</v>
      </c>
      <c r="BV87" s="545">
        <f t="shared" si="158"/>
        <v>2.2195488721804522E-2</v>
      </c>
      <c r="BW87" s="471">
        <f t="shared" si="171"/>
        <v>70.055756727313209</v>
      </c>
      <c r="BX87" s="178">
        <f t="shared" si="172"/>
        <v>0.28402503249043637</v>
      </c>
      <c r="BY87" s="5">
        <f t="shared" si="173"/>
        <v>3.9359999999999999</v>
      </c>
      <c r="BZ87" s="178">
        <f t="shared" si="174"/>
        <v>0.9326958891703967</v>
      </c>
      <c r="CA87" s="5">
        <f t="shared" si="175"/>
        <v>93.26958891703967</v>
      </c>
      <c r="CD87" s="580">
        <f t="shared" si="159"/>
        <v>-50</v>
      </c>
      <c r="CE87">
        <f t="shared" si="160"/>
        <v>-50</v>
      </c>
    </row>
    <row r="88" spans="5:83" x14ac:dyDescent="0.2">
      <c r="E88" s="175">
        <v>83</v>
      </c>
      <c r="F88" s="222">
        <f t="shared" si="161"/>
        <v>0.33200000000000002</v>
      </c>
      <c r="G88" s="222"/>
      <c r="H88" s="222">
        <f t="shared" si="113"/>
        <v>3.984</v>
      </c>
      <c r="I88" s="558">
        <f t="shared" si="114"/>
        <v>24</v>
      </c>
      <c r="J88" s="177">
        <f t="shared" si="115"/>
        <v>24.5</v>
      </c>
      <c r="K88" s="453">
        <f t="shared" si="116"/>
        <v>48.5</v>
      </c>
      <c r="L88" s="453"/>
      <c r="M88" s="222">
        <f t="shared" si="117"/>
        <v>0.50515463917525771</v>
      </c>
      <c r="N88" s="177">
        <f t="shared" si="118"/>
        <v>8.3502061855670089</v>
      </c>
      <c r="O88" s="177">
        <f t="shared" si="162"/>
        <v>3.984</v>
      </c>
      <c r="P88" s="222">
        <f t="shared" si="119"/>
        <v>0.69585051546391741</v>
      </c>
      <c r="Q88" s="222">
        <f t="shared" si="120"/>
        <v>12</v>
      </c>
      <c r="R88" s="222">
        <f t="shared" si="121"/>
        <v>0.73247422680412366</v>
      </c>
      <c r="S88" s="177">
        <f t="shared" si="122"/>
        <v>37.867859890765793</v>
      </c>
      <c r="T88" s="177">
        <f t="shared" si="123"/>
        <v>12</v>
      </c>
      <c r="U88" s="222">
        <f t="shared" si="124"/>
        <v>0.69181525241675623</v>
      </c>
      <c r="V88" s="222">
        <f t="shared" si="125"/>
        <v>2.4213533834586469</v>
      </c>
      <c r="W88" s="222">
        <f t="shared" si="126"/>
        <v>2.3719380082860213</v>
      </c>
      <c r="X88" s="202">
        <f t="shared" si="127"/>
        <v>350</v>
      </c>
      <c r="Y88" s="453">
        <f t="shared" si="163"/>
        <v>208.62491308629137</v>
      </c>
      <c r="AA88" s="222">
        <f t="shared" si="128"/>
        <v>0.41237113402061859</v>
      </c>
      <c r="AB88" s="178">
        <f t="shared" si="129"/>
        <v>1.4138438880706923</v>
      </c>
      <c r="AC88" s="178">
        <f t="shared" si="130"/>
        <v>0.20405994260814117</v>
      </c>
      <c r="AD88" s="178"/>
      <c r="AE88" s="178">
        <f t="shared" si="131"/>
        <v>0.99428571428571422</v>
      </c>
      <c r="AF88" s="562">
        <f t="shared" si="176"/>
        <v>1151.4070550931433</v>
      </c>
      <c r="AG88" s="545">
        <f t="shared" si="132"/>
        <v>0.10091999999999998</v>
      </c>
      <c r="AI88" s="178">
        <f t="shared" si="133"/>
        <v>0.53965551065048767</v>
      </c>
      <c r="AJ88" s="178">
        <f t="shared" si="134"/>
        <v>0.69181525241675623</v>
      </c>
      <c r="AK88" s="178">
        <f t="shared" si="135"/>
        <v>1.4976409277161158</v>
      </c>
      <c r="AM88" s="562">
        <f t="shared" si="136"/>
        <v>332</v>
      </c>
      <c r="AN88" s="471">
        <f t="shared" si="137"/>
        <v>208.62491308629137</v>
      </c>
      <c r="AP88">
        <f t="shared" si="138"/>
        <v>332</v>
      </c>
      <c r="AQ88">
        <f t="shared" si="139"/>
        <v>208.62491308629137</v>
      </c>
      <c r="AS88" s="5">
        <f t="shared" si="164"/>
        <v>4.7932913917446678</v>
      </c>
      <c r="AT88" s="5">
        <f t="shared" si="140"/>
        <v>2.4213533834586469</v>
      </c>
      <c r="AU88" s="5">
        <f t="shared" si="165"/>
        <v>2.3719380082860209</v>
      </c>
      <c r="AV88" s="5">
        <f t="shared" si="141"/>
        <v>2.3719380082860213</v>
      </c>
      <c r="AW88" s="178">
        <f t="shared" si="166"/>
        <v>0.50515463917525782</v>
      </c>
      <c r="AX88" s="178">
        <f t="shared" si="142"/>
        <v>4.1936842105263157</v>
      </c>
      <c r="AY88" s="178">
        <f t="shared" si="143"/>
        <v>0.34234156820622985</v>
      </c>
      <c r="AZ88" s="178">
        <f t="shared" si="167"/>
        <v>12.25</v>
      </c>
      <c r="BA88" s="471">
        <f t="shared" si="144"/>
        <v>6.6990776942355899</v>
      </c>
      <c r="BB88" s="5">
        <f t="shared" si="145"/>
        <v>0.34538746436445567</v>
      </c>
      <c r="BC88" s="5"/>
      <c r="BD88" s="178">
        <f t="shared" si="168"/>
        <v>0.28388449825889817</v>
      </c>
      <c r="BE88" s="178">
        <f t="shared" si="146"/>
        <v>0.56194557081784002</v>
      </c>
      <c r="BF88" s="178"/>
      <c r="BG88" s="545">
        <f t="shared" si="147"/>
        <v>2.8206642923097224E-2</v>
      </c>
      <c r="BH88" s="545">
        <f t="shared" si="148"/>
        <v>5.2499999999999998E-2</v>
      </c>
      <c r="BI88" s="545">
        <f t="shared" si="149"/>
        <v>2.6078114135786421E-3</v>
      </c>
      <c r="BJ88" s="545">
        <f t="shared" si="150"/>
        <v>2.4536897590361446E-2</v>
      </c>
      <c r="BK88">
        <f t="shared" si="151"/>
        <v>6.96E-3</v>
      </c>
      <c r="BL88" s="545">
        <f t="shared" si="152"/>
        <v>0.11594454776462228</v>
      </c>
      <c r="BM88" s="471">
        <f t="shared" si="169"/>
        <v>115.94454776462227</v>
      </c>
      <c r="BN88" s="545">
        <f t="shared" si="153"/>
        <v>9.9600000000000008E-2</v>
      </c>
      <c r="BO88" s="545"/>
      <c r="BQ88" s="471">
        <f t="shared" si="170"/>
        <v>99.600000000000009</v>
      </c>
      <c r="BR88" s="545">
        <f t="shared" si="154"/>
        <v>7.6560887934121044E-3</v>
      </c>
      <c r="BS88" s="545">
        <f t="shared" si="155"/>
        <v>2.8420454210560928E-2</v>
      </c>
      <c r="BT88" s="545">
        <f t="shared" si="156"/>
        <v>1.2512980214660076E-2</v>
      </c>
      <c r="BU88" s="545">
        <f t="shared" si="157"/>
        <v>4.8730164488614239E-2</v>
      </c>
      <c r="BV88" s="545">
        <f t="shared" si="158"/>
        <v>2.2466165413533839E-2</v>
      </c>
      <c r="BW88" s="471">
        <f t="shared" si="171"/>
        <v>71.196329902148079</v>
      </c>
      <c r="BX88" s="178">
        <f t="shared" si="172"/>
        <v>0.28674087766677037</v>
      </c>
      <c r="BY88" s="5">
        <f t="shared" si="173"/>
        <v>3.984</v>
      </c>
      <c r="BZ88" s="178">
        <f t="shared" si="174"/>
        <v>0.93285921907221281</v>
      </c>
      <c r="CA88" s="5">
        <f t="shared" si="175"/>
        <v>93.28592190722128</v>
      </c>
      <c r="CD88" s="580">
        <f t="shared" si="159"/>
        <v>-50</v>
      </c>
      <c r="CE88">
        <f t="shared" si="160"/>
        <v>-50</v>
      </c>
    </row>
    <row r="89" spans="5:83" x14ac:dyDescent="0.2">
      <c r="E89" s="175">
        <v>84</v>
      </c>
      <c r="F89" s="222">
        <f t="shared" si="161"/>
        <v>0.33600000000000002</v>
      </c>
      <c r="G89" s="222"/>
      <c r="H89" s="222">
        <f t="shared" si="113"/>
        <v>4.032</v>
      </c>
      <c r="I89" s="558">
        <f t="shared" si="114"/>
        <v>24</v>
      </c>
      <c r="J89" s="177">
        <f t="shared" si="115"/>
        <v>24.5</v>
      </c>
      <c r="K89" s="453">
        <f t="shared" si="116"/>
        <v>48.5</v>
      </c>
      <c r="L89" s="453"/>
      <c r="M89" s="222">
        <f t="shared" si="117"/>
        <v>0.50515463917525771</v>
      </c>
      <c r="N89" s="177">
        <f t="shared" si="118"/>
        <v>8.3502061855670089</v>
      </c>
      <c r="O89" s="177">
        <f t="shared" si="162"/>
        <v>4.032</v>
      </c>
      <c r="P89" s="222">
        <f t="shared" si="119"/>
        <v>0.69585051546391741</v>
      </c>
      <c r="Q89" s="222">
        <f t="shared" si="120"/>
        <v>12</v>
      </c>
      <c r="R89" s="222">
        <f t="shared" si="121"/>
        <v>0.73247422680412366</v>
      </c>
      <c r="S89" s="177">
        <f t="shared" si="122"/>
        <v>37.276372349953796</v>
      </c>
      <c r="T89" s="177">
        <f t="shared" si="123"/>
        <v>12</v>
      </c>
      <c r="U89" s="222">
        <f t="shared" si="124"/>
        <v>0.70015037593984975</v>
      </c>
      <c r="V89" s="222">
        <f t="shared" si="125"/>
        <v>2.4505263157894741</v>
      </c>
      <c r="W89" s="222">
        <f t="shared" si="126"/>
        <v>2.400515574650913</v>
      </c>
      <c r="X89" s="202">
        <f t="shared" si="127"/>
        <v>350</v>
      </c>
      <c r="Y89" s="453">
        <f t="shared" si="163"/>
        <v>206.14128316859745</v>
      </c>
      <c r="AA89" s="222">
        <f t="shared" si="128"/>
        <v>0.41237113402061859</v>
      </c>
      <c r="AB89" s="178">
        <f t="shared" si="129"/>
        <v>1.4138438880706923</v>
      </c>
      <c r="AC89" s="178">
        <f t="shared" si="130"/>
        <v>0.20405994260814117</v>
      </c>
      <c r="AD89" s="178"/>
      <c r="AE89" s="178">
        <f t="shared" si="131"/>
        <v>0.99428571428571422</v>
      </c>
      <c r="AF89" s="562">
        <f t="shared" si="176"/>
        <v>1165.2794292508922</v>
      </c>
      <c r="AG89" s="545">
        <f t="shared" si="132"/>
        <v>0.10091999999999998</v>
      </c>
      <c r="AI89" s="178">
        <f t="shared" si="133"/>
        <v>0.542896714030637</v>
      </c>
      <c r="AJ89" s="178">
        <f t="shared" si="134"/>
        <v>0.70015037593984975</v>
      </c>
      <c r="AK89" s="178">
        <f t="shared" si="135"/>
        <v>1.5038150932887775</v>
      </c>
      <c r="AM89" s="562">
        <f t="shared" si="136"/>
        <v>336</v>
      </c>
      <c r="AN89" s="471">
        <f t="shared" si="137"/>
        <v>206.14128316859745</v>
      </c>
      <c r="AP89">
        <f t="shared" si="138"/>
        <v>336</v>
      </c>
      <c r="AQ89">
        <f t="shared" si="139"/>
        <v>206.14128316859745</v>
      </c>
      <c r="AS89" s="5">
        <f t="shared" si="164"/>
        <v>4.8510418904403867</v>
      </c>
      <c r="AT89" s="5">
        <f t="shared" si="140"/>
        <v>2.4505263157894741</v>
      </c>
      <c r="AU89" s="5">
        <f t="shared" si="165"/>
        <v>2.4005155746509126</v>
      </c>
      <c r="AV89" s="5">
        <f t="shared" si="141"/>
        <v>2.400515574650913</v>
      </c>
      <c r="AW89" s="178">
        <f t="shared" si="166"/>
        <v>0.50515463917525782</v>
      </c>
      <c r="AX89" s="178">
        <f t="shared" si="142"/>
        <v>4.2442105263157908</v>
      </c>
      <c r="AY89" s="178">
        <f t="shared" si="143"/>
        <v>0.34646616541353381</v>
      </c>
      <c r="AZ89" s="178">
        <f t="shared" si="167"/>
        <v>12.250000000000005</v>
      </c>
      <c r="BA89" s="471">
        <f t="shared" si="144"/>
        <v>6.8614736842105284</v>
      </c>
      <c r="BB89" s="5">
        <f t="shared" si="145"/>
        <v>0.35376018994855551</v>
      </c>
      <c r="BC89" s="5"/>
      <c r="BD89" s="178">
        <f t="shared" si="168"/>
        <v>0.28730479341864396</v>
      </c>
      <c r="BE89" s="178">
        <f t="shared" si="146"/>
        <v>0.56871599938191042</v>
      </c>
      <c r="BF89" s="178"/>
      <c r="BG89" s="545">
        <f t="shared" si="147"/>
        <v>2.8890415512465385E-2</v>
      </c>
      <c r="BH89" s="545">
        <f t="shared" si="148"/>
        <v>5.2500000000000012E-2</v>
      </c>
      <c r="BI89" s="545">
        <f t="shared" si="149"/>
        <v>2.5767660396074682E-3</v>
      </c>
      <c r="BJ89" s="545">
        <f t="shared" si="150"/>
        <v>2.4244791666666671E-2</v>
      </c>
      <c r="BK89">
        <f t="shared" si="151"/>
        <v>6.96E-3</v>
      </c>
      <c r="BL89" s="545">
        <f t="shared" si="152"/>
        <v>0.11633656376113033</v>
      </c>
      <c r="BM89" s="471">
        <f t="shared" si="169"/>
        <v>116.33656376113034</v>
      </c>
      <c r="BN89" s="545">
        <f t="shared" si="153"/>
        <v>0.1008</v>
      </c>
      <c r="BO89" s="545"/>
      <c r="BQ89" s="471">
        <f t="shared" si="170"/>
        <v>100.8</v>
      </c>
      <c r="BR89" s="545">
        <f t="shared" si="154"/>
        <v>7.8416842105263201E-3</v>
      </c>
      <c r="BS89" s="545">
        <f t="shared" si="155"/>
        <v>2.9109409915766861E-2</v>
      </c>
      <c r="BT89" s="545">
        <f t="shared" si="156"/>
        <v>1.2512980214660066E-2</v>
      </c>
      <c r="BU89" s="545">
        <f t="shared" si="157"/>
        <v>4.9610727995339624E-2</v>
      </c>
      <c r="BV89" s="545">
        <f t="shared" si="158"/>
        <v>2.2736842105263166E-2</v>
      </c>
      <c r="BW89" s="471">
        <f t="shared" si="171"/>
        <v>72.347570100602795</v>
      </c>
      <c r="BX89" s="178">
        <f t="shared" si="172"/>
        <v>0.28948413386173311</v>
      </c>
      <c r="BY89" s="5">
        <f t="shared" si="173"/>
        <v>4.032</v>
      </c>
      <c r="BZ89" s="178">
        <f t="shared" si="174"/>
        <v>0.93301279724865116</v>
      </c>
      <c r="CA89" s="5">
        <f t="shared" si="175"/>
        <v>93.301279724865111</v>
      </c>
      <c r="CD89" s="580">
        <f t="shared" si="159"/>
        <v>-50</v>
      </c>
      <c r="CE89">
        <f t="shared" si="160"/>
        <v>-50</v>
      </c>
    </row>
    <row r="90" spans="5:83" x14ac:dyDescent="0.2">
      <c r="E90" s="175">
        <v>85</v>
      </c>
      <c r="F90" s="222">
        <f t="shared" si="161"/>
        <v>0.34</v>
      </c>
      <c r="G90" s="222"/>
      <c r="H90" s="222">
        <f t="shared" si="113"/>
        <v>4.08</v>
      </c>
      <c r="I90" s="558">
        <f t="shared" si="114"/>
        <v>24</v>
      </c>
      <c r="J90" s="177">
        <f t="shared" si="115"/>
        <v>24.5</v>
      </c>
      <c r="K90" s="453">
        <f t="shared" si="116"/>
        <v>48.5</v>
      </c>
      <c r="L90" s="453"/>
      <c r="M90" s="222">
        <f t="shared" si="117"/>
        <v>0.50515463917525771</v>
      </c>
      <c r="N90" s="177">
        <f t="shared" si="118"/>
        <v>8.3502061855670089</v>
      </c>
      <c r="O90" s="177">
        <f t="shared" si="162"/>
        <v>4.08</v>
      </c>
      <c r="P90" s="222">
        <f t="shared" si="119"/>
        <v>0.69585051546391741</v>
      </c>
      <c r="Q90" s="222">
        <f t="shared" si="120"/>
        <v>12</v>
      </c>
      <c r="R90" s="222">
        <f t="shared" si="121"/>
        <v>0.73247422680412366</v>
      </c>
      <c r="S90" s="177">
        <f t="shared" si="122"/>
        <v>36.698840405274844</v>
      </c>
      <c r="T90" s="177">
        <f t="shared" si="123"/>
        <v>12</v>
      </c>
      <c r="U90" s="222">
        <f t="shared" si="124"/>
        <v>0.70848549946294315</v>
      </c>
      <c r="V90" s="222">
        <f t="shared" si="125"/>
        <v>2.4796992481203013</v>
      </c>
      <c r="W90" s="222">
        <f t="shared" si="126"/>
        <v>2.4290931410158048</v>
      </c>
      <c r="X90" s="202">
        <f t="shared" si="127"/>
        <v>350</v>
      </c>
      <c r="Y90" s="453">
        <f t="shared" si="163"/>
        <v>203.716091601908</v>
      </c>
      <c r="AA90" s="222">
        <f t="shared" si="128"/>
        <v>0.41237113402061859</v>
      </c>
      <c r="AB90" s="178">
        <f t="shared" si="129"/>
        <v>1.4138438880706923</v>
      </c>
      <c r="AC90" s="178">
        <f t="shared" si="130"/>
        <v>0.20405994260814117</v>
      </c>
      <c r="AD90" s="178"/>
      <c r="AE90" s="178">
        <f t="shared" si="131"/>
        <v>0.99428571428571422</v>
      </c>
      <c r="AF90" s="562">
        <f t="shared" si="176"/>
        <v>1179.1518034086409</v>
      </c>
      <c r="AG90" s="545">
        <f t="shared" si="132"/>
        <v>0.10091999999999998</v>
      </c>
      <c r="AI90" s="178">
        <f t="shared" si="133"/>
        <v>0.54611868127275021</v>
      </c>
      <c r="AJ90" s="178">
        <f t="shared" si="134"/>
        <v>0.70848549946294315</v>
      </c>
      <c r="AK90" s="178">
        <f t="shared" si="135"/>
        <v>1.5099892588614394</v>
      </c>
      <c r="AM90" s="562">
        <f t="shared" si="136"/>
        <v>340</v>
      </c>
      <c r="AN90" s="471">
        <f t="shared" si="137"/>
        <v>203.716091601908</v>
      </c>
      <c r="AP90">
        <f t="shared" si="138"/>
        <v>340</v>
      </c>
      <c r="AQ90">
        <f t="shared" si="139"/>
        <v>203.716091601908</v>
      </c>
      <c r="AS90" s="5">
        <f t="shared" si="164"/>
        <v>4.9087923891361065</v>
      </c>
      <c r="AT90" s="5">
        <f t="shared" si="140"/>
        <v>2.4796992481203013</v>
      </c>
      <c r="AU90" s="5">
        <f t="shared" si="165"/>
        <v>2.4290931410158052</v>
      </c>
      <c r="AV90" s="5">
        <f t="shared" si="141"/>
        <v>2.4290931410158048</v>
      </c>
      <c r="AW90" s="178">
        <f t="shared" si="166"/>
        <v>0.50515463917525771</v>
      </c>
      <c r="AX90" s="178">
        <f t="shared" si="142"/>
        <v>4.2947368421052623</v>
      </c>
      <c r="AY90" s="178">
        <f t="shared" si="143"/>
        <v>0.35059076262083788</v>
      </c>
      <c r="AZ90" s="178">
        <f t="shared" si="167"/>
        <v>12.249999999999995</v>
      </c>
      <c r="BA90" s="471">
        <f t="shared" si="144"/>
        <v>7.025814536340854</v>
      </c>
      <c r="BB90" s="5">
        <f t="shared" si="145"/>
        <v>0.3622331876953393</v>
      </c>
      <c r="BC90" s="5"/>
      <c r="BD90" s="178">
        <f t="shared" si="168"/>
        <v>0.29072508857838969</v>
      </c>
      <c r="BE90" s="178">
        <f t="shared" si="146"/>
        <v>0.57548642794598082</v>
      </c>
      <c r="BF90" s="178"/>
      <c r="BG90" s="545">
        <f t="shared" si="147"/>
        <v>2.9582376995119383E-2</v>
      </c>
      <c r="BH90" s="545">
        <f t="shared" si="148"/>
        <v>5.2499999999999991E-2</v>
      </c>
      <c r="BI90" s="545">
        <f t="shared" si="149"/>
        <v>2.5464511450238501E-3</v>
      </c>
      <c r="BJ90" s="545">
        <f t="shared" si="150"/>
        <v>2.3959558823529407E-2</v>
      </c>
      <c r="BK90">
        <f t="shared" si="151"/>
        <v>6.96E-3</v>
      </c>
      <c r="BL90" s="545">
        <f t="shared" si="152"/>
        <v>0.11674505808879514</v>
      </c>
      <c r="BM90" s="471">
        <f t="shared" si="169"/>
        <v>116.74505808879513</v>
      </c>
      <c r="BN90" s="545">
        <f t="shared" si="153"/>
        <v>0.10200000000000001</v>
      </c>
      <c r="BO90" s="545"/>
      <c r="BQ90" s="471">
        <f t="shared" si="170"/>
        <v>102.00000000000001</v>
      </c>
      <c r="BR90" s="545">
        <f t="shared" si="154"/>
        <v>8.0295023272466907E-3</v>
      </c>
      <c r="BS90" s="545">
        <f t="shared" si="155"/>
        <v>2.9806616587502211E-2</v>
      </c>
      <c r="BT90" s="545">
        <f t="shared" si="156"/>
        <v>1.2512980214660083E-2</v>
      </c>
      <c r="BU90" s="545">
        <f t="shared" si="157"/>
        <v>5.0501962991583209E-2</v>
      </c>
      <c r="BV90" s="545">
        <f t="shared" si="158"/>
        <v>2.3007518796992487E-2</v>
      </c>
      <c r="BW90" s="471">
        <f t="shared" si="171"/>
        <v>73.509481788575698</v>
      </c>
      <c r="BX90" s="178">
        <f t="shared" si="172"/>
        <v>0.29225453987737082</v>
      </c>
      <c r="BY90" s="5">
        <f t="shared" si="173"/>
        <v>4.08</v>
      </c>
      <c r="BZ90" s="178">
        <f t="shared" si="174"/>
        <v>0.93315701608590063</v>
      </c>
      <c r="CA90" s="5">
        <f t="shared" si="175"/>
        <v>93.315701608590061</v>
      </c>
      <c r="CD90" s="580">
        <f t="shared" si="159"/>
        <v>-50</v>
      </c>
      <c r="CE90">
        <f t="shared" si="160"/>
        <v>-50</v>
      </c>
    </row>
    <row r="91" spans="5:83" x14ac:dyDescent="0.2">
      <c r="E91" s="175">
        <v>86</v>
      </c>
      <c r="F91" s="222">
        <f t="shared" si="161"/>
        <v>0.34400000000000003</v>
      </c>
      <c r="G91" s="222"/>
      <c r="H91" s="222">
        <f t="shared" si="113"/>
        <v>4.1280000000000001</v>
      </c>
      <c r="I91" s="558">
        <f t="shared" si="114"/>
        <v>24</v>
      </c>
      <c r="J91" s="177">
        <f t="shared" si="115"/>
        <v>24.5</v>
      </c>
      <c r="K91" s="453">
        <f t="shared" si="116"/>
        <v>48.5</v>
      </c>
      <c r="L91" s="453"/>
      <c r="M91" s="222">
        <f t="shared" si="117"/>
        <v>0.50515463917525771</v>
      </c>
      <c r="N91" s="177">
        <f t="shared" si="118"/>
        <v>8.3502061855670089</v>
      </c>
      <c r="O91" s="177">
        <f t="shared" si="162"/>
        <v>4.1280000000000001</v>
      </c>
      <c r="P91" s="222">
        <f t="shared" si="119"/>
        <v>0.69585051546391741</v>
      </c>
      <c r="Q91" s="222">
        <f t="shared" si="120"/>
        <v>12</v>
      </c>
      <c r="R91" s="222">
        <f t="shared" si="121"/>
        <v>0.73247422680412366</v>
      </c>
      <c r="S91" s="177">
        <f t="shared" si="122"/>
        <v>36.134777644982812</v>
      </c>
      <c r="T91" s="177">
        <f t="shared" si="123"/>
        <v>12</v>
      </c>
      <c r="U91" s="222">
        <f t="shared" si="124"/>
        <v>0.71682062298603666</v>
      </c>
      <c r="V91" s="222">
        <f t="shared" si="125"/>
        <v>2.508872180451128</v>
      </c>
      <c r="W91" s="222">
        <f t="shared" si="126"/>
        <v>2.4576707073806974</v>
      </c>
      <c r="X91" s="202">
        <f t="shared" si="127"/>
        <v>350</v>
      </c>
      <c r="Y91" s="453">
        <f t="shared" si="163"/>
        <v>201.34729983909514</v>
      </c>
      <c r="AA91" s="222">
        <f t="shared" si="128"/>
        <v>0.41237113402061859</v>
      </c>
      <c r="AB91" s="178">
        <f t="shared" si="129"/>
        <v>1.4138438880706923</v>
      </c>
      <c r="AC91" s="178">
        <f t="shared" si="130"/>
        <v>0.20405994260814117</v>
      </c>
      <c r="AD91" s="178"/>
      <c r="AE91" s="178">
        <f t="shared" si="131"/>
        <v>0.99428571428571422</v>
      </c>
      <c r="AF91" s="562">
        <f t="shared" si="176"/>
        <v>1193.0241775663897</v>
      </c>
      <c r="AG91" s="545">
        <f t="shared" si="132"/>
        <v>0.10091999999999998</v>
      </c>
      <c r="AI91" s="178">
        <f t="shared" si="133"/>
        <v>0.5493217508572843</v>
      </c>
      <c r="AJ91" s="178">
        <f t="shared" si="134"/>
        <v>0.71682062298603666</v>
      </c>
      <c r="AK91" s="178">
        <f t="shared" si="135"/>
        <v>1.5161634244341011</v>
      </c>
      <c r="AM91" s="562">
        <f t="shared" si="136"/>
        <v>344</v>
      </c>
      <c r="AN91" s="471">
        <f t="shared" si="137"/>
        <v>201.34729983909514</v>
      </c>
      <c r="AP91">
        <f t="shared" si="138"/>
        <v>344</v>
      </c>
      <c r="AQ91">
        <f t="shared" si="139"/>
        <v>201.34729983909514</v>
      </c>
      <c r="AS91" s="5">
        <f t="shared" si="164"/>
        <v>4.9665428878318254</v>
      </c>
      <c r="AT91" s="5">
        <f t="shared" si="140"/>
        <v>2.508872180451128</v>
      </c>
      <c r="AU91" s="5">
        <f t="shared" si="165"/>
        <v>2.4576707073806974</v>
      </c>
      <c r="AV91" s="5">
        <f t="shared" si="141"/>
        <v>2.4576707073806974</v>
      </c>
      <c r="AW91" s="178">
        <f t="shared" si="166"/>
        <v>0.50515463917525771</v>
      </c>
      <c r="AX91" s="178">
        <f t="shared" si="142"/>
        <v>4.3452631578947374</v>
      </c>
      <c r="AY91" s="178">
        <f t="shared" si="143"/>
        <v>0.35471535982814184</v>
      </c>
      <c r="AZ91" s="178">
        <f t="shared" si="167"/>
        <v>12.25</v>
      </c>
      <c r="BA91" s="471">
        <f t="shared" si="144"/>
        <v>7.1921002506265683</v>
      </c>
      <c r="BB91" s="5">
        <f t="shared" si="145"/>
        <v>0.37080645760480696</v>
      </c>
      <c r="BC91" s="5"/>
      <c r="BD91" s="178">
        <f t="shared" si="168"/>
        <v>0.29414538373813548</v>
      </c>
      <c r="BE91" s="178">
        <f t="shared" si="146"/>
        <v>0.58225685651005121</v>
      </c>
      <c r="BF91" s="178"/>
      <c r="BG91" s="545">
        <f t="shared" si="147"/>
        <v>3.0282527371059239E-2</v>
      </c>
      <c r="BH91" s="545">
        <f t="shared" si="148"/>
        <v>5.2499999999999998E-2</v>
      </c>
      <c r="BI91" s="545">
        <f t="shared" si="149"/>
        <v>2.5168412479886892E-3</v>
      </c>
      <c r="BJ91" s="545">
        <f t="shared" si="150"/>
        <v>2.3680959302325579E-2</v>
      </c>
      <c r="BK91">
        <f t="shared" si="151"/>
        <v>6.96E-3</v>
      </c>
      <c r="BL91" s="545">
        <f t="shared" si="152"/>
        <v>0.11716977818707482</v>
      </c>
      <c r="BM91" s="471">
        <f t="shared" si="169"/>
        <v>117.16977818707481</v>
      </c>
      <c r="BN91" s="545">
        <f t="shared" si="153"/>
        <v>0.1032</v>
      </c>
      <c r="BO91" s="545"/>
      <c r="BQ91" s="471">
        <f t="shared" si="170"/>
        <v>103.2</v>
      </c>
      <c r="BR91" s="545">
        <f t="shared" si="154"/>
        <v>8.219543143573222E-3</v>
      </c>
      <c r="BS91" s="545">
        <f t="shared" si="155"/>
        <v>3.0512074225766971E-2</v>
      </c>
      <c r="BT91" s="545">
        <f t="shared" si="156"/>
        <v>1.2512980214660083E-2</v>
      </c>
      <c r="BU91" s="545">
        <f t="shared" si="157"/>
        <v>5.1403873998320658E-2</v>
      </c>
      <c r="BV91" s="545">
        <f t="shared" si="158"/>
        <v>2.3278195488721811E-2</v>
      </c>
      <c r="BW91" s="471">
        <f t="shared" si="171"/>
        <v>74.682069487042469</v>
      </c>
      <c r="BX91" s="178">
        <f t="shared" si="172"/>
        <v>0.29505184767411724</v>
      </c>
      <c r="BY91" s="5">
        <f t="shared" si="173"/>
        <v>4.1280000000000001</v>
      </c>
      <c r="BZ91" s="178">
        <f t="shared" si="174"/>
        <v>0.9332922475622184</v>
      </c>
      <c r="CA91" s="5">
        <f t="shared" si="175"/>
        <v>93.329224756221834</v>
      </c>
      <c r="CD91" s="580">
        <f t="shared" si="159"/>
        <v>-50</v>
      </c>
      <c r="CE91">
        <f t="shared" si="160"/>
        <v>-50</v>
      </c>
    </row>
    <row r="92" spans="5:83" x14ac:dyDescent="0.2">
      <c r="E92" s="175">
        <v>87</v>
      </c>
      <c r="F92" s="222">
        <f t="shared" si="161"/>
        <v>0.34800000000000003</v>
      </c>
      <c r="G92" s="222"/>
      <c r="H92" s="222">
        <f t="shared" si="113"/>
        <v>4.1760000000000002</v>
      </c>
      <c r="I92" s="558">
        <f t="shared" si="114"/>
        <v>24</v>
      </c>
      <c r="J92" s="177">
        <f t="shared" si="115"/>
        <v>24.5</v>
      </c>
      <c r="K92" s="453">
        <f t="shared" si="116"/>
        <v>48.5</v>
      </c>
      <c r="L92" s="453"/>
      <c r="M92" s="222">
        <f t="shared" si="117"/>
        <v>0.50515463917525771</v>
      </c>
      <c r="N92" s="177">
        <f t="shared" si="118"/>
        <v>8.3502061855670089</v>
      </c>
      <c r="O92" s="177">
        <f t="shared" si="162"/>
        <v>4.1760000000000002</v>
      </c>
      <c r="P92" s="222">
        <f t="shared" si="119"/>
        <v>0.69585051546391741</v>
      </c>
      <c r="Q92" s="222">
        <f t="shared" si="120"/>
        <v>12</v>
      </c>
      <c r="R92" s="222">
        <f t="shared" si="121"/>
        <v>0.73247422680412366</v>
      </c>
      <c r="S92" s="177">
        <f t="shared" si="122"/>
        <v>35.583720026772504</v>
      </c>
      <c r="T92" s="177">
        <f t="shared" si="123"/>
        <v>12</v>
      </c>
      <c r="U92" s="222">
        <f t="shared" si="124"/>
        <v>0.72515574650913006</v>
      </c>
      <c r="V92" s="222">
        <f t="shared" si="125"/>
        <v>2.5380451127819552</v>
      </c>
      <c r="W92" s="222">
        <f t="shared" si="126"/>
        <v>2.4862482737455887</v>
      </c>
      <c r="X92" s="202">
        <f t="shared" si="127"/>
        <v>350</v>
      </c>
      <c r="Y92" s="453">
        <f t="shared" si="163"/>
        <v>199.03296305933543</v>
      </c>
      <c r="AA92" s="222">
        <f t="shared" si="128"/>
        <v>0.41237113402061859</v>
      </c>
      <c r="AB92" s="178">
        <f t="shared" si="129"/>
        <v>1.4138438880706923</v>
      </c>
      <c r="AC92" s="178">
        <f t="shared" si="130"/>
        <v>0.20405994260814117</v>
      </c>
      <c r="AD92" s="178"/>
      <c r="AE92" s="178">
        <f t="shared" si="131"/>
        <v>0.99428571428571422</v>
      </c>
      <c r="AF92" s="562">
        <f t="shared" si="176"/>
        <v>1206.8965517241384</v>
      </c>
      <c r="AG92" s="545">
        <f t="shared" si="132"/>
        <v>0.10091999999999998</v>
      </c>
      <c r="AI92" s="178">
        <f t="shared" si="133"/>
        <v>0.55250625145308252</v>
      </c>
      <c r="AJ92" s="178">
        <f t="shared" si="134"/>
        <v>0.72515574650913006</v>
      </c>
      <c r="AK92" s="178">
        <f t="shared" si="135"/>
        <v>1.5223375900067631</v>
      </c>
      <c r="AM92" s="562">
        <f t="shared" si="136"/>
        <v>348.00000000000006</v>
      </c>
      <c r="AN92" s="471">
        <f t="shared" si="137"/>
        <v>199.03296305933543</v>
      </c>
      <c r="AP92">
        <f t="shared" si="138"/>
        <v>348.00000000000006</v>
      </c>
      <c r="AQ92">
        <f t="shared" si="139"/>
        <v>199.03296305933543</v>
      </c>
      <c r="AS92" s="5">
        <f t="shared" si="164"/>
        <v>5.0242933865275443</v>
      </c>
      <c r="AT92" s="5">
        <f t="shared" si="140"/>
        <v>2.5380451127819552</v>
      </c>
      <c r="AU92" s="5">
        <f t="shared" si="165"/>
        <v>2.4862482737455891</v>
      </c>
      <c r="AV92" s="5">
        <f t="shared" si="141"/>
        <v>2.4862482737455887</v>
      </c>
      <c r="AW92" s="178">
        <f t="shared" si="166"/>
        <v>0.50515463917525771</v>
      </c>
      <c r="AX92" s="178">
        <f t="shared" si="142"/>
        <v>4.3957894736842107</v>
      </c>
      <c r="AY92" s="178">
        <f t="shared" si="143"/>
        <v>0.3588399570354458</v>
      </c>
      <c r="AZ92" s="178">
        <f t="shared" si="167"/>
        <v>12.249999999999998</v>
      </c>
      <c r="BA92" s="471">
        <f t="shared" si="144"/>
        <v>7.3603308270676715</v>
      </c>
      <c r="BB92" s="5">
        <f t="shared" si="145"/>
        <v>0.37947999967695828</v>
      </c>
      <c r="BC92" s="5"/>
      <c r="BD92" s="178">
        <f t="shared" si="168"/>
        <v>0.29756567889788121</v>
      </c>
      <c r="BE92" s="178">
        <f t="shared" si="146"/>
        <v>0.58902728507412161</v>
      </c>
      <c r="BF92" s="178"/>
      <c r="BG92" s="545">
        <f t="shared" si="147"/>
        <v>3.0990866640284932E-2</v>
      </c>
      <c r="BH92" s="545">
        <f t="shared" si="148"/>
        <v>5.2499999999999998E-2</v>
      </c>
      <c r="BI92" s="545">
        <f t="shared" si="149"/>
        <v>2.4879120382416925E-3</v>
      </c>
      <c r="BJ92" s="545">
        <f t="shared" si="150"/>
        <v>2.3408764367816089E-2</v>
      </c>
      <c r="BK92">
        <f t="shared" si="151"/>
        <v>6.96E-3</v>
      </c>
      <c r="BL92" s="545">
        <f t="shared" si="152"/>
        <v>0.11761048385570538</v>
      </c>
      <c r="BM92" s="471">
        <f t="shared" si="169"/>
        <v>117.61048385570538</v>
      </c>
      <c r="BN92" s="545">
        <f t="shared" si="153"/>
        <v>0.10440000000000001</v>
      </c>
      <c r="BO92" s="545"/>
      <c r="BQ92" s="471">
        <f t="shared" si="170"/>
        <v>104.4</v>
      </c>
      <c r="BR92" s="545">
        <f t="shared" si="154"/>
        <v>8.4118066595059108E-3</v>
      </c>
      <c r="BS92" s="545">
        <f t="shared" si="155"/>
        <v>3.1225782830561148E-2</v>
      </c>
      <c r="BT92" s="545">
        <f t="shared" si="156"/>
        <v>1.2512980214660069E-2</v>
      </c>
      <c r="BU92" s="545">
        <f t="shared" si="157"/>
        <v>5.2316465591662607E-2</v>
      </c>
      <c r="BV92" s="545">
        <f t="shared" si="158"/>
        <v>2.3548872180451135E-2</v>
      </c>
      <c r="BW92" s="471">
        <f t="shared" si="171"/>
        <v>75.865337772113733</v>
      </c>
      <c r="BX92" s="178">
        <f t="shared" si="172"/>
        <v>0.29787582162781912</v>
      </c>
      <c r="BY92" s="5">
        <f t="shared" si="173"/>
        <v>4.1760000000000002</v>
      </c>
      <c r="BZ92" s="178">
        <f t="shared" si="174"/>
        <v>0.93341884453121959</v>
      </c>
      <c r="CA92" s="5">
        <f t="shared" si="175"/>
        <v>93.341884453121963</v>
      </c>
      <c r="CD92" s="580">
        <f t="shared" si="159"/>
        <v>-50</v>
      </c>
      <c r="CE92">
        <f t="shared" si="160"/>
        <v>-50</v>
      </c>
    </row>
    <row r="93" spans="5:83" x14ac:dyDescent="0.2">
      <c r="E93" s="175">
        <v>88</v>
      </c>
      <c r="F93" s="222">
        <f t="shared" si="161"/>
        <v>0.35200000000000004</v>
      </c>
      <c r="G93" s="222"/>
      <c r="H93" s="222">
        <f t="shared" si="113"/>
        <v>4.2240000000000002</v>
      </c>
      <c r="I93" s="558">
        <f t="shared" si="114"/>
        <v>24</v>
      </c>
      <c r="J93" s="177">
        <f t="shared" si="115"/>
        <v>24.5</v>
      </c>
      <c r="K93" s="453">
        <f t="shared" si="116"/>
        <v>48.5</v>
      </c>
      <c r="L93" s="453"/>
      <c r="M93" s="222">
        <f t="shared" si="117"/>
        <v>0.50515463917525771</v>
      </c>
      <c r="N93" s="177">
        <f t="shared" si="118"/>
        <v>8.3502061855670089</v>
      </c>
      <c r="O93" s="177">
        <f t="shared" si="162"/>
        <v>4.2240000000000002</v>
      </c>
      <c r="P93" s="222">
        <f t="shared" si="119"/>
        <v>0.69585051546391741</v>
      </c>
      <c r="Q93" s="222">
        <f t="shared" si="120"/>
        <v>12</v>
      </c>
      <c r="R93" s="222">
        <f t="shared" si="121"/>
        <v>0.73247422680412366</v>
      </c>
      <c r="S93" s="177">
        <f t="shared" si="122"/>
        <v>35.045224606882627</v>
      </c>
      <c r="T93" s="177">
        <f t="shared" si="123"/>
        <v>12</v>
      </c>
      <c r="U93" s="222">
        <f t="shared" si="124"/>
        <v>0.73349087003222357</v>
      </c>
      <c r="V93" s="222">
        <f t="shared" si="125"/>
        <v>2.5672180451127824</v>
      </c>
      <c r="W93" s="222">
        <f t="shared" si="126"/>
        <v>2.5148258401104808</v>
      </c>
      <c r="X93" s="202">
        <f t="shared" si="127"/>
        <v>350</v>
      </c>
      <c r="Y93" s="453">
        <f t="shared" si="163"/>
        <v>196.77122484275205</v>
      </c>
      <c r="AA93" s="222">
        <f t="shared" si="128"/>
        <v>0.41237113402061859</v>
      </c>
      <c r="AB93" s="178">
        <f t="shared" si="129"/>
        <v>1.4138438880706923</v>
      </c>
      <c r="AC93" s="178">
        <f t="shared" si="130"/>
        <v>0.20405994260814117</v>
      </c>
      <c r="AD93" s="178"/>
      <c r="AE93" s="178">
        <f t="shared" si="131"/>
        <v>0.99428571428571422</v>
      </c>
      <c r="AF93" s="562">
        <f t="shared" si="176"/>
        <v>1220.7689258818871</v>
      </c>
      <c r="AG93" s="545">
        <f t="shared" si="132"/>
        <v>0.10091999999999998</v>
      </c>
      <c r="AI93" s="178">
        <f t="shared" si="133"/>
        <v>0.55567250231099385</v>
      </c>
      <c r="AJ93" s="178">
        <f t="shared" si="134"/>
        <v>0.73349087003222357</v>
      </c>
      <c r="AK93" s="178">
        <f t="shared" si="135"/>
        <v>1.5285117555794248</v>
      </c>
      <c r="AM93" s="562">
        <f t="shared" si="136"/>
        <v>352.00000000000006</v>
      </c>
      <c r="AN93" s="471">
        <f t="shared" si="137"/>
        <v>196.77122484275205</v>
      </c>
      <c r="AP93">
        <f t="shared" si="138"/>
        <v>352.00000000000006</v>
      </c>
      <c r="AQ93">
        <f t="shared" si="139"/>
        <v>196.77122484275205</v>
      </c>
      <c r="AS93" s="5">
        <f t="shared" si="164"/>
        <v>5.0820438852232641</v>
      </c>
      <c r="AT93" s="5">
        <f t="shared" si="140"/>
        <v>2.5672180451127824</v>
      </c>
      <c r="AU93" s="5">
        <f t="shared" si="165"/>
        <v>2.5148258401104817</v>
      </c>
      <c r="AV93" s="5">
        <f t="shared" si="141"/>
        <v>2.5148258401104808</v>
      </c>
      <c r="AW93" s="178">
        <f t="shared" si="166"/>
        <v>0.5051546391752576</v>
      </c>
      <c r="AX93" s="178">
        <f t="shared" si="142"/>
        <v>4.4463157894736858</v>
      </c>
      <c r="AY93" s="178">
        <f t="shared" si="143"/>
        <v>0.36296455424274993</v>
      </c>
      <c r="AZ93" s="178">
        <f t="shared" si="167"/>
        <v>12.249999999999998</v>
      </c>
      <c r="BA93" s="471">
        <f t="shared" si="144"/>
        <v>7.5305062656641626</v>
      </c>
      <c r="BB93" s="5">
        <f t="shared" si="145"/>
        <v>0.38825381391179364</v>
      </c>
      <c r="BC93" s="5"/>
      <c r="BD93" s="178">
        <f t="shared" si="168"/>
        <v>0.30098597405762695</v>
      </c>
      <c r="BE93" s="178">
        <f t="shared" si="146"/>
        <v>0.59579771363819201</v>
      </c>
      <c r="BF93" s="178"/>
      <c r="BG93" s="545">
        <f t="shared" si="147"/>
        <v>3.1707394802796468E-2</v>
      </c>
      <c r="BH93" s="545">
        <f t="shared" si="148"/>
        <v>5.2499999999999991E-2</v>
      </c>
      <c r="BI93" s="545">
        <f t="shared" si="149"/>
        <v>2.4596403105344002E-3</v>
      </c>
      <c r="BJ93" s="545">
        <f t="shared" si="150"/>
        <v>2.3142755681818176E-2</v>
      </c>
      <c r="BK93">
        <f t="shared" si="151"/>
        <v>6.96E-3</v>
      </c>
      <c r="BL93" s="545">
        <f t="shared" si="152"/>
        <v>0.11806694656237655</v>
      </c>
      <c r="BM93" s="471">
        <f t="shared" si="169"/>
        <v>118.06694656237656</v>
      </c>
      <c r="BN93" s="545">
        <f t="shared" si="153"/>
        <v>0.10560000000000001</v>
      </c>
      <c r="BO93" s="545"/>
      <c r="BQ93" s="471">
        <f t="shared" si="170"/>
        <v>105.60000000000001</v>
      </c>
      <c r="BR93" s="545">
        <f t="shared" si="154"/>
        <v>8.6062928750447552E-3</v>
      </c>
      <c r="BS93" s="545">
        <f t="shared" si="155"/>
        <v>3.1947742401884728E-2</v>
      </c>
      <c r="BT93" s="545">
        <f t="shared" si="156"/>
        <v>1.2512980214660069E-2</v>
      </c>
      <c r="BU93" s="545">
        <f t="shared" si="157"/>
        <v>5.3239742402912939E-2</v>
      </c>
      <c r="BV93" s="545">
        <f t="shared" si="158"/>
        <v>2.3819548872180456E-2</v>
      </c>
      <c r="BW93" s="471">
        <f t="shared" si="171"/>
        <v>77.0592912750934</v>
      </c>
      <c r="BX93" s="178">
        <f t="shared" si="172"/>
        <v>0.30072623783746999</v>
      </c>
      <c r="BY93" s="5">
        <f t="shared" si="173"/>
        <v>4.2240000000000002</v>
      </c>
      <c r="BZ93" s="178">
        <f t="shared" si="174"/>
        <v>0.93353714191088877</v>
      </c>
      <c r="CA93" s="5">
        <f t="shared" si="175"/>
        <v>93.353714191088883</v>
      </c>
      <c r="CD93" s="580">
        <f t="shared" si="159"/>
        <v>-50</v>
      </c>
      <c r="CE93">
        <f t="shared" si="160"/>
        <v>-50</v>
      </c>
    </row>
    <row r="94" spans="5:83" x14ac:dyDescent="0.2">
      <c r="E94" s="175">
        <v>89</v>
      </c>
      <c r="F94" s="222">
        <f t="shared" si="161"/>
        <v>0.35600000000000004</v>
      </c>
      <c r="G94" s="222"/>
      <c r="H94" s="222">
        <f t="shared" si="113"/>
        <v>4.2720000000000002</v>
      </c>
      <c r="I94" s="558">
        <f t="shared" si="114"/>
        <v>24</v>
      </c>
      <c r="J94" s="177">
        <f t="shared" si="115"/>
        <v>24.5</v>
      </c>
      <c r="K94" s="453">
        <f t="shared" si="116"/>
        <v>48.5</v>
      </c>
      <c r="L94" s="453"/>
      <c r="M94" s="222">
        <f t="shared" si="117"/>
        <v>0.50515463917525771</v>
      </c>
      <c r="N94" s="177">
        <f t="shared" si="118"/>
        <v>8.3502061855670089</v>
      </c>
      <c r="O94" s="177">
        <f t="shared" si="162"/>
        <v>4.2720000000000002</v>
      </c>
      <c r="P94" s="222">
        <f t="shared" si="119"/>
        <v>0.69585051546391741</v>
      </c>
      <c r="Q94" s="222">
        <f t="shared" si="120"/>
        <v>12</v>
      </c>
      <c r="R94" s="222">
        <f t="shared" si="121"/>
        <v>0.73247422680412366</v>
      </c>
      <c r="S94" s="177">
        <f t="shared" si="122"/>
        <v>34.518868354879025</v>
      </c>
      <c r="T94" s="177">
        <f t="shared" si="123"/>
        <v>12</v>
      </c>
      <c r="U94" s="222">
        <f t="shared" si="124"/>
        <v>0.74182599355531698</v>
      </c>
      <c r="V94" s="222">
        <f t="shared" si="125"/>
        <v>2.5963909774436096</v>
      </c>
      <c r="W94" s="222">
        <f t="shared" si="126"/>
        <v>2.5434034064753726</v>
      </c>
      <c r="X94" s="202">
        <f t="shared" si="127"/>
        <v>350</v>
      </c>
      <c r="Y94" s="453">
        <f t="shared" si="163"/>
        <v>194.56031220406948</v>
      </c>
      <c r="AA94" s="222">
        <f t="shared" si="128"/>
        <v>0.41237113402061859</v>
      </c>
      <c r="AB94" s="178">
        <f t="shared" si="129"/>
        <v>1.4138438880706923</v>
      </c>
      <c r="AC94" s="178">
        <f t="shared" si="130"/>
        <v>0.20405994260814117</v>
      </c>
      <c r="AD94" s="178"/>
      <c r="AE94" s="178">
        <f t="shared" si="131"/>
        <v>0.99428571428571422</v>
      </c>
      <c r="AF94" s="562">
        <f t="shared" si="176"/>
        <v>1234.6413000396358</v>
      </c>
      <c r="AG94" s="545">
        <f t="shared" si="132"/>
        <v>0.10091999999999998</v>
      </c>
      <c r="AI94" s="178">
        <f t="shared" si="133"/>
        <v>0.55882081363741809</v>
      </c>
      <c r="AJ94" s="178">
        <f t="shared" si="134"/>
        <v>0.74182599355531698</v>
      </c>
      <c r="AK94" s="178">
        <f t="shared" si="135"/>
        <v>1.5346859211520867</v>
      </c>
      <c r="AM94" s="562">
        <f t="shared" si="136"/>
        <v>356.00000000000006</v>
      </c>
      <c r="AN94" s="471">
        <f t="shared" si="137"/>
        <v>194.56031220406948</v>
      </c>
      <c r="AP94">
        <f t="shared" si="138"/>
        <v>356.00000000000006</v>
      </c>
      <c r="AQ94">
        <f t="shared" si="139"/>
        <v>194.56031220406948</v>
      </c>
      <c r="AS94" s="5">
        <f t="shared" si="164"/>
        <v>5.1397943839189812</v>
      </c>
      <c r="AT94" s="5">
        <f t="shared" si="140"/>
        <v>2.5963909774436096</v>
      </c>
      <c r="AU94" s="5">
        <f t="shared" si="165"/>
        <v>2.5434034064753717</v>
      </c>
      <c r="AV94" s="5">
        <f t="shared" si="141"/>
        <v>2.5434034064753726</v>
      </c>
      <c r="AW94" s="178">
        <f t="shared" si="166"/>
        <v>0.50515463917525782</v>
      </c>
      <c r="AX94" s="178">
        <f t="shared" si="142"/>
        <v>4.4968421052631582</v>
      </c>
      <c r="AY94" s="178">
        <f t="shared" si="143"/>
        <v>0.36708915145005372</v>
      </c>
      <c r="AZ94" s="178">
        <f t="shared" si="167"/>
        <v>12.25</v>
      </c>
      <c r="BA94" s="471">
        <f t="shared" si="144"/>
        <v>7.7026265664160425</v>
      </c>
      <c r="BB94" s="5">
        <f t="shared" si="145"/>
        <v>0.39712790030931239</v>
      </c>
      <c r="BC94" s="5"/>
      <c r="BD94" s="178">
        <f t="shared" si="168"/>
        <v>0.30440626921737279</v>
      </c>
      <c r="BE94" s="178">
        <f t="shared" si="146"/>
        <v>0.60256814220226218</v>
      </c>
      <c r="BF94" s="178"/>
      <c r="BG94" s="545">
        <f t="shared" si="147"/>
        <v>3.2432111858593876E-2</v>
      </c>
      <c r="BH94" s="545">
        <f t="shared" si="148"/>
        <v>5.2500000000000005E-2</v>
      </c>
      <c r="BI94" s="545">
        <f t="shared" si="149"/>
        <v>2.4320039025508685E-3</v>
      </c>
      <c r="BJ94" s="545">
        <f t="shared" si="150"/>
        <v>2.2882724719101123E-2</v>
      </c>
      <c r="BK94">
        <f t="shared" si="151"/>
        <v>6.96E-3</v>
      </c>
      <c r="BL94" s="545">
        <f t="shared" si="152"/>
        <v>0.11853894879712741</v>
      </c>
      <c r="BM94" s="471">
        <f t="shared" si="169"/>
        <v>118.53894879712742</v>
      </c>
      <c r="BN94" s="545">
        <f t="shared" si="153"/>
        <v>0.10680000000000001</v>
      </c>
      <c r="BO94" s="545"/>
      <c r="BQ94" s="471">
        <f t="shared" si="170"/>
        <v>106.80000000000001</v>
      </c>
      <c r="BR94" s="545">
        <f t="shared" si="154"/>
        <v>8.8030017901897656E-3</v>
      </c>
      <c r="BS94" s="545">
        <f t="shared" si="155"/>
        <v>3.2677952939737707E-2</v>
      </c>
      <c r="BT94" s="545">
        <f t="shared" si="156"/>
        <v>1.2512980214660074E-2</v>
      </c>
      <c r="BU94" s="545">
        <f t="shared" si="157"/>
        <v>5.4173709118627712E-2</v>
      </c>
      <c r="BV94" s="545">
        <f t="shared" si="158"/>
        <v>2.409022556390978E-2</v>
      </c>
      <c r="BW94" s="471">
        <f t="shared" si="171"/>
        <v>78.263934682537496</v>
      </c>
      <c r="BX94" s="178">
        <f t="shared" si="172"/>
        <v>0.30360288347966491</v>
      </c>
      <c r="BY94" s="5">
        <f t="shared" si="173"/>
        <v>4.2720000000000002</v>
      </c>
      <c r="BZ94" s="178">
        <f t="shared" si="174"/>
        <v>0.93364745778620095</v>
      </c>
      <c r="CA94" s="5">
        <f t="shared" si="175"/>
        <v>93.36474577862009</v>
      </c>
      <c r="CD94" s="580">
        <f t="shared" si="159"/>
        <v>-50</v>
      </c>
      <c r="CE94">
        <f t="shared" si="160"/>
        <v>-50</v>
      </c>
    </row>
    <row r="95" spans="5:83" x14ac:dyDescent="0.2">
      <c r="E95" s="175">
        <v>90</v>
      </c>
      <c r="F95" s="222">
        <f t="shared" si="161"/>
        <v>0.36000000000000004</v>
      </c>
      <c r="G95" s="222"/>
      <c r="H95" s="222">
        <f t="shared" si="113"/>
        <v>4.32</v>
      </c>
      <c r="I95" s="558">
        <f t="shared" si="114"/>
        <v>24</v>
      </c>
      <c r="J95" s="177">
        <f t="shared" si="115"/>
        <v>24.5</v>
      </c>
      <c r="K95" s="453">
        <f t="shared" si="116"/>
        <v>48.5</v>
      </c>
      <c r="L95" s="453"/>
      <c r="M95" s="222">
        <f t="shared" si="117"/>
        <v>0.50515463917525771</v>
      </c>
      <c r="N95" s="177">
        <f t="shared" si="118"/>
        <v>8.3502061855670089</v>
      </c>
      <c r="O95" s="177">
        <f t="shared" si="162"/>
        <v>4.32</v>
      </c>
      <c r="P95" s="222">
        <f t="shared" si="119"/>
        <v>0.69585051546391741</v>
      </c>
      <c r="Q95" s="222">
        <f t="shared" si="120"/>
        <v>12</v>
      </c>
      <c r="R95" s="222">
        <f t="shared" si="121"/>
        <v>0.73247422680412366</v>
      </c>
      <c r="S95" s="177">
        <f t="shared" si="122"/>
        <v>34.004247047454008</v>
      </c>
      <c r="T95" s="177">
        <f t="shared" si="123"/>
        <v>12</v>
      </c>
      <c r="U95" s="222">
        <f t="shared" si="124"/>
        <v>0.75016111707841049</v>
      </c>
      <c r="V95" s="222">
        <f t="shared" si="125"/>
        <v>2.6255639097744368</v>
      </c>
      <c r="W95" s="222">
        <f t="shared" si="126"/>
        <v>2.5719809728402643</v>
      </c>
      <c r="X95" s="202">
        <f t="shared" si="127"/>
        <v>350</v>
      </c>
      <c r="Y95" s="453">
        <f t="shared" si="163"/>
        <v>192.39853095735756</v>
      </c>
      <c r="AA95" s="222">
        <f t="shared" si="128"/>
        <v>0.41237113402061859</v>
      </c>
      <c r="AB95" s="178">
        <f t="shared" si="129"/>
        <v>1.4138438880706923</v>
      </c>
      <c r="AC95" s="178">
        <f t="shared" si="130"/>
        <v>0.20405994260814117</v>
      </c>
      <c r="AD95" s="178"/>
      <c r="AE95" s="178">
        <f t="shared" si="131"/>
        <v>0.99428571428571422</v>
      </c>
      <c r="AF95" s="562">
        <f t="shared" si="176"/>
        <v>1248.5136741973847</v>
      </c>
      <c r="AG95" s="545">
        <f t="shared" si="132"/>
        <v>0.10091999999999998</v>
      </c>
      <c r="AI95" s="178">
        <f t="shared" si="133"/>
        <v>0.56195148694901642</v>
      </c>
      <c r="AJ95" s="178">
        <f t="shared" si="134"/>
        <v>0.75016111707841049</v>
      </c>
      <c r="AK95" s="178">
        <f t="shared" si="135"/>
        <v>1.5408600867247486</v>
      </c>
      <c r="AM95" s="562">
        <f t="shared" si="136"/>
        <v>360.00000000000006</v>
      </c>
      <c r="AN95" s="471">
        <f t="shared" si="137"/>
        <v>192.39853095735756</v>
      </c>
      <c r="AP95">
        <f t="shared" si="138"/>
        <v>360.00000000000006</v>
      </c>
      <c r="AQ95">
        <f t="shared" si="139"/>
        <v>192.39853095735756</v>
      </c>
      <c r="AS95" s="5">
        <f t="shared" si="164"/>
        <v>5.197544882614701</v>
      </c>
      <c r="AT95" s="5">
        <f t="shared" si="140"/>
        <v>2.6255639097744368</v>
      </c>
      <c r="AU95" s="5">
        <f t="shared" si="165"/>
        <v>2.5719809728402643</v>
      </c>
      <c r="AV95" s="5">
        <f t="shared" si="141"/>
        <v>2.5719809728402643</v>
      </c>
      <c r="AW95" s="178">
        <f t="shared" si="166"/>
        <v>0.50515463917525771</v>
      </c>
      <c r="AX95" s="178">
        <f t="shared" si="142"/>
        <v>4.5473684210526324</v>
      </c>
      <c r="AY95" s="178">
        <f t="shared" si="143"/>
        <v>0.37121374865735779</v>
      </c>
      <c r="AZ95" s="178">
        <f t="shared" si="167"/>
        <v>12.249999999999998</v>
      </c>
      <c r="BA95" s="471">
        <f t="shared" si="144"/>
        <v>7.8766917293233121</v>
      </c>
      <c r="BB95" s="5">
        <f t="shared" si="145"/>
        <v>0.40610225886951545</v>
      </c>
      <c r="BC95" s="5"/>
      <c r="BD95" s="178">
        <f t="shared" si="168"/>
        <v>0.30782656437711853</v>
      </c>
      <c r="BE95" s="178">
        <f t="shared" si="146"/>
        <v>0.60933857076633269</v>
      </c>
      <c r="BF95" s="178"/>
      <c r="BG95" s="545">
        <f t="shared" si="147"/>
        <v>3.3165017807677104E-2</v>
      </c>
      <c r="BH95" s="545">
        <f t="shared" si="148"/>
        <v>5.2499999999999998E-2</v>
      </c>
      <c r="BI95" s="545">
        <f t="shared" si="149"/>
        <v>2.4049816369669697E-3</v>
      </c>
      <c r="BJ95" s="545">
        <f t="shared" si="150"/>
        <v>2.262847222222222E-2</v>
      </c>
      <c r="BK95">
        <f t="shared" si="151"/>
        <v>6.96E-3</v>
      </c>
      <c r="BL95" s="545">
        <f t="shared" si="152"/>
        <v>0.11902628346982877</v>
      </c>
      <c r="BM95" s="471">
        <f t="shared" si="169"/>
        <v>119.02628346982877</v>
      </c>
      <c r="BN95" s="545">
        <f t="shared" si="153"/>
        <v>0.10800000000000001</v>
      </c>
      <c r="BO95" s="545"/>
      <c r="BQ95" s="471">
        <f t="shared" si="170"/>
        <v>108.00000000000001</v>
      </c>
      <c r="BR95" s="545">
        <f t="shared" si="154"/>
        <v>9.0019334049409282E-3</v>
      </c>
      <c r="BS95" s="545">
        <f t="shared" si="155"/>
        <v>3.3416414444120135E-2</v>
      </c>
      <c r="BT95" s="545">
        <f t="shared" si="156"/>
        <v>1.251298021466006E-2</v>
      </c>
      <c r="BU95" s="545">
        <f t="shared" si="157"/>
        <v>5.5118370480674944E-2</v>
      </c>
      <c r="BV95" s="545">
        <f t="shared" si="158"/>
        <v>2.43609022556391E-2</v>
      </c>
      <c r="BW95" s="471">
        <f t="shared" si="171"/>
        <v>79.479272736314044</v>
      </c>
      <c r="BX95" s="178">
        <f t="shared" si="172"/>
        <v>0.30650555620614278</v>
      </c>
      <c r="BY95" s="5">
        <f t="shared" si="173"/>
        <v>4.32</v>
      </c>
      <c r="BZ95" s="178">
        <f t="shared" si="174"/>
        <v>0.93375009443250612</v>
      </c>
      <c r="CA95" s="5">
        <f t="shared" si="175"/>
        <v>93.375009443250605</v>
      </c>
      <c r="CD95" s="580">
        <f t="shared" si="159"/>
        <v>-50</v>
      </c>
      <c r="CE95">
        <f t="shared" si="160"/>
        <v>-50</v>
      </c>
    </row>
    <row r="96" spans="5:83" x14ac:dyDescent="0.2">
      <c r="E96" s="175">
        <v>91</v>
      </c>
      <c r="F96" s="222">
        <f t="shared" si="161"/>
        <v>0.36400000000000005</v>
      </c>
      <c r="G96" s="222"/>
      <c r="H96" s="222">
        <f t="shared" si="113"/>
        <v>4.3680000000000003</v>
      </c>
      <c r="I96" s="558">
        <f t="shared" si="114"/>
        <v>24</v>
      </c>
      <c r="J96" s="177">
        <f t="shared" si="115"/>
        <v>24.5</v>
      </c>
      <c r="K96" s="453">
        <f t="shared" si="116"/>
        <v>48.5</v>
      </c>
      <c r="L96" s="453"/>
      <c r="M96" s="222">
        <f t="shared" si="117"/>
        <v>0.50515463917525771</v>
      </c>
      <c r="N96" s="177">
        <f t="shared" si="118"/>
        <v>8.3502061855670089</v>
      </c>
      <c r="O96" s="177">
        <f t="shared" si="162"/>
        <v>4.3680000000000003</v>
      </c>
      <c r="P96" s="222">
        <f t="shared" si="119"/>
        <v>0.69585051546391741</v>
      </c>
      <c r="Q96" s="222">
        <f t="shared" si="120"/>
        <v>12</v>
      </c>
      <c r="R96" s="222">
        <f t="shared" si="121"/>
        <v>0.73247422680412366</v>
      </c>
      <c r="S96" s="177">
        <f t="shared" si="122"/>
        <v>33.500974235164001</v>
      </c>
      <c r="T96" s="222">
        <f t="shared" si="123"/>
        <v>12</v>
      </c>
      <c r="U96" s="222">
        <f t="shared" si="124"/>
        <v>0.75849624060150389</v>
      </c>
      <c r="V96" s="222">
        <f t="shared" si="125"/>
        <v>2.6547368421052635</v>
      </c>
      <c r="W96" s="222">
        <f t="shared" si="126"/>
        <v>2.600558539205156</v>
      </c>
      <c r="X96" s="202">
        <f t="shared" si="127"/>
        <v>350</v>
      </c>
      <c r="Y96" s="453">
        <f t="shared" si="163"/>
        <v>190.28426138639759</v>
      </c>
      <c r="AA96" s="222">
        <f t="shared" si="128"/>
        <v>0.41237113402061859</v>
      </c>
      <c r="AB96" s="178">
        <f t="shared" si="129"/>
        <v>1.4138438880706923</v>
      </c>
      <c r="AC96" s="178">
        <f t="shared" si="130"/>
        <v>0.20405994260814117</v>
      </c>
      <c r="AD96" s="178"/>
      <c r="AE96" s="178">
        <f t="shared" si="131"/>
        <v>0.99428571428571422</v>
      </c>
      <c r="AF96" s="562">
        <f t="shared" si="176"/>
        <v>1262.3860483551332</v>
      </c>
      <c r="AG96" s="545">
        <f t="shared" si="132"/>
        <v>0.10091999999999998</v>
      </c>
      <c r="AI96" s="178">
        <f t="shared" si="133"/>
        <v>0.56506481540973263</v>
      </c>
      <c r="AJ96" s="178">
        <f t="shared" si="134"/>
        <v>0.75849624060150389</v>
      </c>
      <c r="AK96" s="178">
        <f t="shared" si="135"/>
        <v>1.5470342522974103</v>
      </c>
      <c r="AM96" s="562">
        <f t="shared" si="136"/>
        <v>364.00000000000006</v>
      </c>
      <c r="AN96" s="471">
        <f t="shared" si="137"/>
        <v>190.28426138639759</v>
      </c>
      <c r="AP96">
        <f t="shared" si="138"/>
        <v>364.00000000000006</v>
      </c>
      <c r="AQ96">
        <f t="shared" si="139"/>
        <v>190.28426138639759</v>
      </c>
      <c r="AS96" s="5">
        <f t="shared" si="164"/>
        <v>5.25529538131042</v>
      </c>
      <c r="AT96" s="5">
        <f t="shared" si="140"/>
        <v>2.6547368421052635</v>
      </c>
      <c r="AU96" s="5">
        <f t="shared" si="165"/>
        <v>2.6005585392051564</v>
      </c>
      <c r="AV96" s="5">
        <f t="shared" si="141"/>
        <v>2.600558539205156</v>
      </c>
      <c r="AW96" s="178">
        <f t="shared" si="166"/>
        <v>0.50515463917525771</v>
      </c>
      <c r="AX96" s="178">
        <f t="shared" si="142"/>
        <v>4.5978947368421057</v>
      </c>
      <c r="AY96" s="178">
        <f t="shared" si="143"/>
        <v>0.37533834586466175</v>
      </c>
      <c r="AZ96" s="178">
        <f t="shared" si="167"/>
        <v>12.249999999999998</v>
      </c>
      <c r="BA96" s="471">
        <f t="shared" si="144"/>
        <v>8.0527017543859678</v>
      </c>
      <c r="BB96" s="5">
        <f t="shared" si="145"/>
        <v>0.41517688959240218</v>
      </c>
      <c r="BC96" s="5"/>
      <c r="BD96" s="178">
        <f t="shared" si="168"/>
        <v>0.31124685953686426</v>
      </c>
      <c r="BE96" s="178">
        <f t="shared" si="146"/>
        <v>0.61610899933040308</v>
      </c>
      <c r="BF96" s="178"/>
      <c r="BG96" s="545">
        <f t="shared" si="147"/>
        <v>3.3906112650046179E-2</v>
      </c>
      <c r="BH96" s="545">
        <f t="shared" si="148"/>
        <v>5.2499999999999998E-2</v>
      </c>
      <c r="BI96" s="545">
        <f t="shared" si="149"/>
        <v>2.3785532673299696E-3</v>
      </c>
      <c r="BJ96" s="545">
        <f t="shared" si="150"/>
        <v>2.2379807692307685E-2</v>
      </c>
      <c r="BK96">
        <f t="shared" si="151"/>
        <v>6.96E-3</v>
      </c>
      <c r="BL96" s="545">
        <f t="shared" si="152"/>
        <v>0.11952875334743936</v>
      </c>
      <c r="BM96" s="471">
        <f t="shared" si="169"/>
        <v>119.52875334743936</v>
      </c>
      <c r="BN96" s="545">
        <f t="shared" si="153"/>
        <v>0.10920000000000001</v>
      </c>
      <c r="BO96" s="545"/>
      <c r="BQ96" s="471">
        <f t="shared" si="170"/>
        <v>109.2</v>
      </c>
      <c r="BR96" s="545">
        <f t="shared" si="154"/>
        <v>9.2030877192982481E-3</v>
      </c>
      <c r="BS96" s="545">
        <f t="shared" si="155"/>
        <v>3.4163126915031955E-2</v>
      </c>
      <c r="BT96" s="545">
        <f t="shared" si="156"/>
        <v>1.2512980214660078E-2</v>
      </c>
      <c r="BU96" s="545">
        <f t="shared" si="157"/>
        <v>5.607373128629501E-2</v>
      </c>
      <c r="BV96" s="545">
        <f t="shared" si="158"/>
        <v>2.4631578947368424E-2</v>
      </c>
      <c r="BW96" s="471">
        <f t="shared" si="171"/>
        <v>80.70531023366344</v>
      </c>
      <c r="BX96" s="178">
        <f t="shared" si="172"/>
        <v>0.30943406358110281</v>
      </c>
      <c r="BY96" s="5">
        <f t="shared" si="173"/>
        <v>4.3680000000000003</v>
      </c>
      <c r="BZ96" s="178">
        <f t="shared" si="174"/>
        <v>0.93384533926616253</v>
      </c>
      <c r="CA96" s="5">
        <f t="shared" si="175"/>
        <v>93.384533926616257</v>
      </c>
      <c r="CD96" s="580">
        <f t="shared" si="159"/>
        <v>-50</v>
      </c>
      <c r="CE96">
        <f t="shared" si="160"/>
        <v>-50</v>
      </c>
    </row>
    <row r="97" spans="5:83" x14ac:dyDescent="0.2">
      <c r="E97" s="175">
        <v>92</v>
      </c>
      <c r="F97" s="222">
        <f t="shared" si="161"/>
        <v>0.36800000000000005</v>
      </c>
      <c r="G97" s="222"/>
      <c r="H97" s="222">
        <f t="shared" si="113"/>
        <v>4.4160000000000004</v>
      </c>
      <c r="I97" s="558">
        <f t="shared" si="114"/>
        <v>24</v>
      </c>
      <c r="J97" s="177">
        <f t="shared" si="115"/>
        <v>24.5</v>
      </c>
      <c r="K97" s="453">
        <f t="shared" si="116"/>
        <v>48.5</v>
      </c>
      <c r="L97" s="453"/>
      <c r="M97" s="222">
        <f t="shared" si="117"/>
        <v>0.50515463917525771</v>
      </c>
      <c r="N97" s="177">
        <f t="shared" si="118"/>
        <v>8.3502061855670089</v>
      </c>
      <c r="O97" s="177">
        <f t="shared" si="162"/>
        <v>4.4160000000000004</v>
      </c>
      <c r="P97" s="222">
        <f t="shared" si="119"/>
        <v>0.69585051546391741</v>
      </c>
      <c r="Q97" s="222">
        <f t="shared" si="120"/>
        <v>12</v>
      </c>
      <c r="R97" s="222">
        <f t="shared" si="121"/>
        <v>0.73247422680412366</v>
      </c>
      <c r="S97" s="177">
        <f t="shared" si="122"/>
        <v>33.008680276555509</v>
      </c>
      <c r="T97" s="549">
        <f t="shared" si="123"/>
        <v>12</v>
      </c>
      <c r="U97" s="549">
        <f t="shared" si="124"/>
        <v>0.7668313641245974</v>
      </c>
      <c r="V97" s="222">
        <f t="shared" si="125"/>
        <v>2.6839097744360907</v>
      </c>
      <c r="W97" s="222">
        <f t="shared" si="126"/>
        <v>2.6291361055700482</v>
      </c>
      <c r="X97" s="202">
        <f t="shared" si="127"/>
        <v>350</v>
      </c>
      <c r="Y97" s="453">
        <f t="shared" si="163"/>
        <v>188.21595419741502</v>
      </c>
      <c r="AA97" s="222">
        <f t="shared" si="128"/>
        <v>0.41237113402061859</v>
      </c>
      <c r="AB97" s="178">
        <f t="shared" si="129"/>
        <v>1.4138438880706923</v>
      </c>
      <c r="AC97" s="178">
        <f t="shared" si="130"/>
        <v>0.20405994260814117</v>
      </c>
      <c r="AD97" s="178"/>
      <c r="AE97" s="178">
        <f t="shared" si="131"/>
        <v>0.99428571428571422</v>
      </c>
      <c r="AF97" s="562">
        <f t="shared" si="176"/>
        <v>1276.2584225128819</v>
      </c>
      <c r="AG97" s="545">
        <f t="shared" si="132"/>
        <v>0.10091999999999998</v>
      </c>
      <c r="AI97" s="178">
        <f t="shared" si="133"/>
        <v>0.5681610841511936</v>
      </c>
      <c r="AJ97" s="178">
        <f t="shared" si="134"/>
        <v>0.7668313641245974</v>
      </c>
      <c r="AK97" s="178">
        <f t="shared" si="135"/>
        <v>1.553208417870072</v>
      </c>
      <c r="AM97" s="562">
        <f t="shared" si="136"/>
        <v>368.00000000000006</v>
      </c>
      <c r="AN97" s="471">
        <f t="shared" si="137"/>
        <v>188.21595419741502</v>
      </c>
      <c r="AP97">
        <f t="shared" si="138"/>
        <v>368.00000000000006</v>
      </c>
      <c r="AQ97">
        <f t="shared" si="139"/>
        <v>188.21595419741502</v>
      </c>
      <c r="AS97" s="5">
        <f t="shared" si="164"/>
        <v>5.3130458800061389</v>
      </c>
      <c r="AT97" s="5">
        <f t="shared" si="140"/>
        <v>2.6839097744360907</v>
      </c>
      <c r="AU97" s="5">
        <f t="shared" si="165"/>
        <v>2.6291361055700482</v>
      </c>
      <c r="AV97" s="5">
        <f t="shared" si="141"/>
        <v>2.6291361055700482</v>
      </c>
      <c r="AW97" s="178">
        <f t="shared" si="166"/>
        <v>0.50515463917525771</v>
      </c>
      <c r="AX97" s="178">
        <f t="shared" si="142"/>
        <v>4.6484210526315799</v>
      </c>
      <c r="AY97" s="178">
        <f t="shared" si="143"/>
        <v>0.37946294307196576</v>
      </c>
      <c r="AZ97" s="178">
        <f t="shared" si="167"/>
        <v>12.249999999999998</v>
      </c>
      <c r="BA97" s="471">
        <f t="shared" si="144"/>
        <v>8.2306566416040123</v>
      </c>
      <c r="BB97" s="5">
        <f t="shared" si="145"/>
        <v>0.42435179247797267</v>
      </c>
      <c r="BC97" s="5"/>
      <c r="BD97" s="178">
        <f t="shared" si="168"/>
        <v>0.31466715469661005</v>
      </c>
      <c r="BE97" s="178">
        <f t="shared" si="146"/>
        <v>0.62287942789447348</v>
      </c>
      <c r="BF97" s="178"/>
      <c r="BG97" s="545">
        <f t="shared" si="147"/>
        <v>3.4655396385701108E-2</v>
      </c>
      <c r="BH97" s="545">
        <f t="shared" si="148"/>
        <v>5.2499999999999998E-2</v>
      </c>
      <c r="BI97" s="545">
        <f t="shared" si="149"/>
        <v>2.3526994274676877E-3</v>
      </c>
      <c r="BJ97" s="545">
        <f t="shared" si="150"/>
        <v>2.2136548913043473E-2</v>
      </c>
      <c r="BK97">
        <f t="shared" si="151"/>
        <v>6.96E-3</v>
      </c>
      <c r="BL97" s="545">
        <f t="shared" si="152"/>
        <v>0.12004617052800921</v>
      </c>
      <c r="BM97" s="471">
        <f t="shared" si="169"/>
        <v>120.04617052800921</v>
      </c>
      <c r="BN97" s="545">
        <f t="shared" si="153"/>
        <v>0.11040000000000001</v>
      </c>
      <c r="BO97" s="545"/>
      <c r="BQ97" s="471">
        <f t="shared" si="170"/>
        <v>110.4</v>
      </c>
      <c r="BR97" s="545">
        <f t="shared" si="154"/>
        <v>9.4064647332617306E-3</v>
      </c>
      <c r="BS97" s="545">
        <f t="shared" si="155"/>
        <v>3.4918090352473188E-2</v>
      </c>
      <c r="BT97" s="545">
        <f t="shared" si="156"/>
        <v>1.25129802146601E-2</v>
      </c>
      <c r="BU97" s="545">
        <f t="shared" si="157"/>
        <v>5.7039796388161923E-2</v>
      </c>
      <c r="BV97" s="545">
        <f t="shared" si="158"/>
        <v>2.4902255639097752E-2</v>
      </c>
      <c r="BW97" s="471">
        <f t="shared" si="171"/>
        <v>81.942052027259678</v>
      </c>
      <c r="BX97" s="178">
        <f t="shared" si="172"/>
        <v>0.31238822255526888</v>
      </c>
      <c r="BY97" s="5">
        <f t="shared" si="173"/>
        <v>4.4160000000000004</v>
      </c>
      <c r="BZ97" s="178">
        <f t="shared" si="174"/>
        <v>0.93393346572831726</v>
      </c>
      <c r="CA97" s="5">
        <f t="shared" si="175"/>
        <v>93.393346572831732</v>
      </c>
      <c r="CD97" s="580">
        <f t="shared" si="159"/>
        <v>-50</v>
      </c>
      <c r="CE97">
        <f t="shared" si="160"/>
        <v>-50</v>
      </c>
    </row>
    <row r="98" spans="5:83" x14ac:dyDescent="0.2">
      <c r="E98" s="175">
        <v>93</v>
      </c>
      <c r="F98" s="222">
        <f t="shared" si="161"/>
        <v>0.37200000000000005</v>
      </c>
      <c r="G98" s="222"/>
      <c r="H98" s="222">
        <f t="shared" si="113"/>
        <v>4.4640000000000004</v>
      </c>
      <c r="I98" s="558">
        <f t="shared" si="114"/>
        <v>24</v>
      </c>
      <c r="J98" s="177">
        <f t="shared" si="115"/>
        <v>24.5</v>
      </c>
      <c r="K98" s="453">
        <f t="shared" si="116"/>
        <v>48.5</v>
      </c>
      <c r="L98" s="453"/>
      <c r="M98" s="222">
        <f t="shared" si="117"/>
        <v>0.50515463917525771</v>
      </c>
      <c r="N98" s="177">
        <f t="shared" si="118"/>
        <v>8.3502061855670089</v>
      </c>
      <c r="O98" s="177">
        <f t="shared" si="162"/>
        <v>4.4640000000000004</v>
      </c>
      <c r="P98" s="222">
        <f t="shared" si="119"/>
        <v>0.69585051546391741</v>
      </c>
      <c r="Q98" s="222">
        <f t="shared" si="120"/>
        <v>12</v>
      </c>
      <c r="R98" s="222">
        <f t="shared" si="121"/>
        <v>0.73247422680412366</v>
      </c>
      <c r="S98" s="177">
        <f t="shared" si="122"/>
        <v>32.527011434607424</v>
      </c>
      <c r="T98" s="549">
        <f t="shared" si="123"/>
        <v>12</v>
      </c>
      <c r="U98" s="549">
        <f t="shared" si="124"/>
        <v>0.77516648764769081</v>
      </c>
      <c r="V98" s="222">
        <f t="shared" si="125"/>
        <v>2.7130827067669179</v>
      </c>
      <c r="W98" s="222">
        <f t="shared" si="126"/>
        <v>2.6577136719349399</v>
      </c>
      <c r="X98" s="202">
        <f t="shared" si="127"/>
        <v>350</v>
      </c>
      <c r="Y98" s="453">
        <f t="shared" si="163"/>
        <v>186.19212673292668</v>
      </c>
      <c r="AA98" s="222">
        <f t="shared" si="128"/>
        <v>0.41237113402061859</v>
      </c>
      <c r="AB98" s="178">
        <f t="shared" si="129"/>
        <v>1.4138438880706923</v>
      </c>
      <c r="AC98" s="178">
        <f t="shared" si="130"/>
        <v>0.20405994260814117</v>
      </c>
      <c r="AD98" s="178"/>
      <c r="AE98" s="178">
        <f t="shared" si="131"/>
        <v>0.99428571428571422</v>
      </c>
      <c r="AF98" s="562">
        <f t="shared" si="176"/>
        <v>1290.1307966706308</v>
      </c>
      <c r="AG98" s="545">
        <f t="shared" si="132"/>
        <v>0.10091999999999998</v>
      </c>
      <c r="AI98" s="178">
        <f t="shared" si="133"/>
        <v>0.57124057057747946</v>
      </c>
      <c r="AJ98" s="178">
        <f t="shared" si="134"/>
        <v>0.77516648764769081</v>
      </c>
      <c r="AK98" s="178">
        <f t="shared" si="135"/>
        <v>1.5593825834427339</v>
      </c>
      <c r="AM98" s="562">
        <f t="shared" si="136"/>
        <v>372.00000000000006</v>
      </c>
      <c r="AN98" s="471">
        <f t="shared" si="137"/>
        <v>186.19212673292668</v>
      </c>
      <c r="AP98">
        <f t="shared" si="138"/>
        <v>372.00000000000006</v>
      </c>
      <c r="AQ98">
        <f t="shared" si="139"/>
        <v>186.19212673292668</v>
      </c>
      <c r="AS98" s="5">
        <f t="shared" si="164"/>
        <v>5.3707963787018578</v>
      </c>
      <c r="AT98" s="5">
        <f t="shared" si="140"/>
        <v>2.7130827067669179</v>
      </c>
      <c r="AU98" s="5">
        <f t="shared" si="165"/>
        <v>2.6577136719349399</v>
      </c>
      <c r="AV98" s="5">
        <f t="shared" si="141"/>
        <v>2.6577136719349399</v>
      </c>
      <c r="AW98" s="178">
        <f t="shared" si="166"/>
        <v>0.50515463917525771</v>
      </c>
      <c r="AX98" s="178">
        <f t="shared" si="142"/>
        <v>4.6989473684210523</v>
      </c>
      <c r="AY98" s="178">
        <f t="shared" si="143"/>
        <v>0.38358754027926967</v>
      </c>
      <c r="AZ98" s="178">
        <f t="shared" si="167"/>
        <v>12.249999999999996</v>
      </c>
      <c r="BA98" s="471">
        <f t="shared" si="144"/>
        <v>8.4105563909774474</v>
      </c>
      <c r="BB98" s="5">
        <f t="shared" si="145"/>
        <v>0.43362696752622704</v>
      </c>
      <c r="BC98" s="5"/>
      <c r="BD98" s="178">
        <f t="shared" si="168"/>
        <v>0.31808744985635579</v>
      </c>
      <c r="BE98" s="178">
        <f t="shared" si="146"/>
        <v>0.62964985645854377</v>
      </c>
      <c r="BF98" s="178"/>
      <c r="BG98" s="545">
        <f t="shared" si="147"/>
        <v>3.5412869014641878E-2</v>
      </c>
      <c r="BH98" s="545">
        <f t="shared" si="148"/>
        <v>5.2499999999999991E-2</v>
      </c>
      <c r="BI98" s="545">
        <f t="shared" si="149"/>
        <v>2.3274015841615835E-3</v>
      </c>
      <c r="BJ98" s="545">
        <f t="shared" si="150"/>
        <v>2.1898521505376342E-2</v>
      </c>
      <c r="BK98">
        <f t="shared" si="151"/>
        <v>6.96E-3</v>
      </c>
      <c r="BL98" s="545">
        <f t="shared" si="152"/>
        <v>0.12057835594866538</v>
      </c>
      <c r="BM98" s="471">
        <f t="shared" si="169"/>
        <v>120.57835594866538</v>
      </c>
      <c r="BN98" s="545">
        <f t="shared" si="153"/>
        <v>0.11160000000000002</v>
      </c>
      <c r="BO98" s="545"/>
      <c r="BQ98" s="471">
        <f t="shared" si="170"/>
        <v>111.60000000000002</v>
      </c>
      <c r="BR98" s="545">
        <f t="shared" si="154"/>
        <v>9.6120644468313688E-3</v>
      </c>
      <c r="BS98" s="545">
        <f t="shared" si="155"/>
        <v>3.5681304756443828E-2</v>
      </c>
      <c r="BT98" s="545">
        <f t="shared" si="156"/>
        <v>1.2512980214660069E-2</v>
      </c>
      <c r="BU98" s="545">
        <f t="shared" si="157"/>
        <v>5.8016570694444977E-2</v>
      </c>
      <c r="BV98" s="545">
        <f t="shared" si="158"/>
        <v>2.5172932330827069E-2</v>
      </c>
      <c r="BW98" s="471">
        <f t="shared" si="171"/>
        <v>83.189503025272046</v>
      </c>
      <c r="BX98" s="178">
        <f t="shared" si="172"/>
        <v>0.31536785897393743</v>
      </c>
      <c r="BY98" s="5">
        <f t="shared" si="173"/>
        <v>4.4640000000000004</v>
      </c>
      <c r="BZ98" s="178">
        <f t="shared" si="174"/>
        <v>0.9340147341071916</v>
      </c>
      <c r="CA98" s="5">
        <f t="shared" si="175"/>
        <v>93.401473410719163</v>
      </c>
      <c r="CD98" s="580">
        <f t="shared" si="159"/>
        <v>-50</v>
      </c>
      <c r="CE98">
        <f t="shared" si="160"/>
        <v>-50</v>
      </c>
    </row>
    <row r="99" spans="5:83" x14ac:dyDescent="0.2">
      <c r="E99" s="175">
        <v>94</v>
      </c>
      <c r="F99" s="222">
        <f t="shared" si="161"/>
        <v>0.376</v>
      </c>
      <c r="G99" s="222"/>
      <c r="H99" s="222">
        <f t="shared" si="113"/>
        <v>4.5120000000000005</v>
      </c>
      <c r="I99" s="558">
        <f t="shared" si="114"/>
        <v>24</v>
      </c>
      <c r="J99" s="177">
        <f t="shared" si="115"/>
        <v>24.5</v>
      </c>
      <c r="K99" s="453">
        <f t="shared" si="116"/>
        <v>48.5</v>
      </c>
      <c r="L99" s="453"/>
      <c r="M99" s="222">
        <f t="shared" si="117"/>
        <v>0.50515463917525771</v>
      </c>
      <c r="N99" s="177">
        <f t="shared" si="118"/>
        <v>8.3502061855670089</v>
      </c>
      <c r="O99" s="177">
        <f t="shared" si="162"/>
        <v>4.5120000000000005</v>
      </c>
      <c r="P99" s="222">
        <f t="shared" si="119"/>
        <v>0.69585051546391741</v>
      </c>
      <c r="Q99" s="222">
        <f t="shared" si="120"/>
        <v>12</v>
      </c>
      <c r="R99" s="222">
        <f t="shared" si="121"/>
        <v>0.73247422680412366</v>
      </c>
      <c r="S99" s="177">
        <f t="shared" si="122"/>
        <v>32.055629030849126</v>
      </c>
      <c r="T99" s="549">
        <f t="shared" si="123"/>
        <v>12</v>
      </c>
      <c r="U99" s="549">
        <f t="shared" si="124"/>
        <v>0.78350161117078432</v>
      </c>
      <c r="V99" s="222">
        <f t="shared" si="125"/>
        <v>2.7422556390977451</v>
      </c>
      <c r="W99" s="222">
        <f t="shared" si="126"/>
        <v>2.6862912382998316</v>
      </c>
      <c r="X99" s="202">
        <f t="shared" si="127"/>
        <v>350</v>
      </c>
      <c r="Y99" s="453">
        <f t="shared" si="163"/>
        <v>184.21135942725724</v>
      </c>
      <c r="AA99" s="222">
        <f t="shared" si="128"/>
        <v>0.41237113402061859</v>
      </c>
      <c r="AB99" s="178">
        <f t="shared" si="129"/>
        <v>1.4138438880706923</v>
      </c>
      <c r="AC99" s="178">
        <f t="shared" si="130"/>
        <v>0.20405994260814117</v>
      </c>
      <c r="AD99" s="178"/>
      <c r="AE99" s="178">
        <f t="shared" si="131"/>
        <v>0.99428571428571422</v>
      </c>
      <c r="AF99" s="562">
        <f t="shared" si="176"/>
        <v>1304.0031708283793</v>
      </c>
      <c r="AG99" s="545">
        <f t="shared" si="132"/>
        <v>0.10091999999999998</v>
      </c>
      <c r="AI99" s="178">
        <f t="shared" si="133"/>
        <v>0.57430354465518385</v>
      </c>
      <c r="AJ99" s="178">
        <f t="shared" si="134"/>
        <v>0.78350161117078432</v>
      </c>
      <c r="AK99" s="178">
        <f t="shared" si="135"/>
        <v>1.5655567490153959</v>
      </c>
      <c r="AM99" s="562">
        <f t="shared" si="136"/>
        <v>376</v>
      </c>
      <c r="AN99" s="471">
        <f t="shared" si="137"/>
        <v>184.21135942725724</v>
      </c>
      <c r="AP99">
        <f t="shared" si="138"/>
        <v>376</v>
      </c>
      <c r="AQ99">
        <f t="shared" si="139"/>
        <v>184.21135942725724</v>
      </c>
      <c r="AS99" s="5">
        <f t="shared" si="164"/>
        <v>5.4285468773975767</v>
      </c>
      <c r="AT99" s="5">
        <f t="shared" si="140"/>
        <v>2.7422556390977451</v>
      </c>
      <c r="AU99" s="5">
        <f t="shared" si="165"/>
        <v>2.6862912382998316</v>
      </c>
      <c r="AV99" s="5">
        <f t="shared" si="141"/>
        <v>2.6862912382998316</v>
      </c>
      <c r="AW99" s="178">
        <f t="shared" si="166"/>
        <v>0.50515463917525771</v>
      </c>
      <c r="AX99" s="178">
        <f t="shared" si="142"/>
        <v>4.7494736842105274</v>
      </c>
      <c r="AY99" s="178">
        <f t="shared" si="143"/>
        <v>0.38771213748657368</v>
      </c>
      <c r="AZ99" s="178">
        <f t="shared" si="167"/>
        <v>12.25</v>
      </c>
      <c r="BA99" s="471">
        <f t="shared" si="144"/>
        <v>8.5924010025062696</v>
      </c>
      <c r="BB99" s="5">
        <f t="shared" si="145"/>
        <v>0.44300241473716528</v>
      </c>
      <c r="BC99" s="5"/>
      <c r="BD99" s="178">
        <f t="shared" si="168"/>
        <v>0.32150774501610158</v>
      </c>
      <c r="BE99" s="178">
        <f t="shared" si="146"/>
        <v>0.63642028502261416</v>
      </c>
      <c r="BF99" s="178"/>
      <c r="BG99" s="545">
        <f t="shared" si="147"/>
        <v>3.6178530536868501E-2</v>
      </c>
      <c r="BH99" s="545">
        <f t="shared" si="148"/>
        <v>5.2499999999999998E-2</v>
      </c>
      <c r="BI99" s="545">
        <f t="shared" si="149"/>
        <v>2.3026419928407153E-3</v>
      </c>
      <c r="BJ99" s="545">
        <f t="shared" si="150"/>
        <v>2.1665558510638293E-2</v>
      </c>
      <c r="BK99">
        <f t="shared" si="151"/>
        <v>6.96E-3</v>
      </c>
      <c r="BL99" s="545">
        <f t="shared" si="152"/>
        <v>0.1211251389250505</v>
      </c>
      <c r="BM99" s="471">
        <f t="shared" si="169"/>
        <v>121.12513892505051</v>
      </c>
      <c r="BN99" s="545">
        <f t="shared" si="153"/>
        <v>0.1128</v>
      </c>
      <c r="BO99" s="545"/>
      <c r="BQ99" s="471">
        <f t="shared" si="170"/>
        <v>112.8</v>
      </c>
      <c r="BR99" s="545">
        <f t="shared" si="154"/>
        <v>9.8198868600071661E-3</v>
      </c>
      <c r="BS99" s="545">
        <f t="shared" si="155"/>
        <v>3.6452770126943888E-2</v>
      </c>
      <c r="BT99" s="545">
        <f t="shared" si="156"/>
        <v>1.2512980214660069E-2</v>
      </c>
      <c r="BU99" s="545">
        <f t="shared" si="157"/>
        <v>5.9004059168871845E-2</v>
      </c>
      <c r="BV99" s="545">
        <f t="shared" si="158"/>
        <v>2.5443609022556397E-2</v>
      </c>
      <c r="BW99" s="471">
        <f t="shared" si="171"/>
        <v>84.447668191428235</v>
      </c>
      <c r="BX99" s="178">
        <f t="shared" si="172"/>
        <v>0.31837280711647875</v>
      </c>
      <c r="BY99" s="5">
        <f t="shared" si="173"/>
        <v>4.5120000000000005</v>
      </c>
      <c r="BZ99" s="178">
        <f t="shared" si="174"/>
        <v>0.93408939230375199</v>
      </c>
      <c r="CA99" s="5">
        <f t="shared" si="175"/>
        <v>93.408939230375196</v>
      </c>
      <c r="CD99" s="580">
        <f t="shared" si="159"/>
        <v>-50</v>
      </c>
      <c r="CE99">
        <f t="shared" si="160"/>
        <v>-50</v>
      </c>
    </row>
    <row r="100" spans="5:83" x14ac:dyDescent="0.2">
      <c r="E100" s="175">
        <v>95</v>
      </c>
      <c r="F100" s="222">
        <f t="shared" si="161"/>
        <v>0.38</v>
      </c>
      <c r="G100" s="222"/>
      <c r="H100" s="222">
        <f t="shared" si="113"/>
        <v>4.5600000000000005</v>
      </c>
      <c r="I100" s="558">
        <f t="shared" si="114"/>
        <v>24</v>
      </c>
      <c r="J100" s="177">
        <f t="shared" si="115"/>
        <v>24.5</v>
      </c>
      <c r="K100" s="453">
        <f t="shared" si="116"/>
        <v>48.5</v>
      </c>
      <c r="L100" s="453"/>
      <c r="M100" s="222">
        <f t="shared" si="117"/>
        <v>0.50515463917525771</v>
      </c>
      <c r="N100" s="177">
        <f t="shared" si="118"/>
        <v>8.3502061855670089</v>
      </c>
      <c r="O100" s="177">
        <f t="shared" si="162"/>
        <v>4.5600000000000005</v>
      </c>
      <c r="P100" s="222">
        <f t="shared" si="119"/>
        <v>0.69585051546391741</v>
      </c>
      <c r="Q100" s="222">
        <f t="shared" si="120"/>
        <v>12</v>
      </c>
      <c r="R100" s="222">
        <f t="shared" si="121"/>
        <v>0.73247422680412366</v>
      </c>
      <c r="S100" s="177">
        <f t="shared" si="122"/>
        <v>31.594208652904499</v>
      </c>
      <c r="T100" s="549">
        <f t="shared" si="123"/>
        <v>12</v>
      </c>
      <c r="U100" s="549">
        <f t="shared" si="124"/>
        <v>0.79183673469387772</v>
      </c>
      <c r="V100" s="222">
        <f t="shared" si="125"/>
        <v>2.7714285714285718</v>
      </c>
      <c r="W100" s="222">
        <f t="shared" si="126"/>
        <v>2.7148688046647234</v>
      </c>
      <c r="X100" s="202">
        <f t="shared" si="127"/>
        <v>350</v>
      </c>
      <c r="Y100" s="453">
        <f t="shared" si="163"/>
        <v>182.27229248591769</v>
      </c>
      <c r="AA100" s="222">
        <f t="shared" si="128"/>
        <v>0.41237113402061859</v>
      </c>
      <c r="AB100" s="178">
        <f t="shared" si="129"/>
        <v>1.4138438880706923</v>
      </c>
      <c r="AC100" s="178">
        <f t="shared" si="130"/>
        <v>0.20405994260814117</v>
      </c>
      <c r="AD100" s="178"/>
      <c r="AE100" s="178">
        <f t="shared" si="131"/>
        <v>0.99428571428571422</v>
      </c>
      <c r="AF100" s="562">
        <f t="shared" si="176"/>
        <v>1317.8755449861278</v>
      </c>
      <c r="AG100" s="545">
        <f t="shared" si="132"/>
        <v>0.10091999999999998</v>
      </c>
      <c r="AI100" s="178">
        <f t="shared" si="133"/>
        <v>0.57735026918962584</v>
      </c>
      <c r="AJ100" s="178">
        <f t="shared" si="134"/>
        <v>0.79183673469387772</v>
      </c>
      <c r="AK100" s="178">
        <f t="shared" si="135"/>
        <v>1.5717309145880576</v>
      </c>
      <c r="AM100" s="562">
        <f t="shared" si="136"/>
        <v>380</v>
      </c>
      <c r="AN100" s="471">
        <f t="shared" si="137"/>
        <v>182.27229248591769</v>
      </c>
      <c r="AP100">
        <f t="shared" si="138"/>
        <v>380</v>
      </c>
      <c r="AQ100">
        <f t="shared" si="139"/>
        <v>182.27229248591769</v>
      </c>
      <c r="AS100" s="5">
        <f t="shared" si="164"/>
        <v>5.4862973760932956</v>
      </c>
      <c r="AT100" s="5">
        <f t="shared" si="140"/>
        <v>2.7714285714285718</v>
      </c>
      <c r="AU100" s="5">
        <f t="shared" si="165"/>
        <v>2.7148688046647238</v>
      </c>
      <c r="AV100" s="5">
        <f t="shared" si="141"/>
        <v>2.7148688046647234</v>
      </c>
      <c r="AW100" s="178">
        <f t="shared" si="166"/>
        <v>0.50515463917525771</v>
      </c>
      <c r="AX100" s="178">
        <f t="shared" si="142"/>
        <v>4.8000000000000007</v>
      </c>
      <c r="AY100" s="178">
        <f t="shared" si="143"/>
        <v>0.39183673469387764</v>
      </c>
      <c r="AZ100" s="178">
        <f t="shared" si="167"/>
        <v>12.249999999999998</v>
      </c>
      <c r="BA100" s="471">
        <f t="shared" si="144"/>
        <v>8.776190476190477</v>
      </c>
      <c r="BB100" s="5">
        <f t="shared" si="145"/>
        <v>0.45247813411078736</v>
      </c>
      <c r="BC100" s="5"/>
      <c r="BD100" s="178">
        <f t="shared" si="168"/>
        <v>0.32492804017584731</v>
      </c>
      <c r="BE100" s="178">
        <f t="shared" si="146"/>
        <v>0.64319071358668456</v>
      </c>
      <c r="BF100" s="178"/>
      <c r="BG100" s="545">
        <f t="shared" si="147"/>
        <v>3.6952380952380966E-2</v>
      </c>
      <c r="BH100" s="545">
        <f t="shared" si="148"/>
        <v>5.2499999999999991E-2</v>
      </c>
      <c r="BI100" s="545">
        <f t="shared" si="149"/>
        <v>2.2784036560739712E-3</v>
      </c>
      <c r="BJ100" s="545">
        <f t="shared" si="150"/>
        <v>2.1437499999999995E-2</v>
      </c>
      <c r="BK100">
        <f t="shared" si="151"/>
        <v>6.96E-3</v>
      </c>
      <c r="BL100" s="545">
        <f t="shared" si="152"/>
        <v>0.12168635671989649</v>
      </c>
      <c r="BM100" s="471">
        <f t="shared" si="169"/>
        <v>121.68635671989648</v>
      </c>
      <c r="BN100" s="545">
        <f t="shared" si="153"/>
        <v>0.11399999999999999</v>
      </c>
      <c r="BO100" s="545"/>
      <c r="BQ100" s="471">
        <f t="shared" si="170"/>
        <v>113.99999999999999</v>
      </c>
      <c r="BR100" s="545">
        <f t="shared" si="154"/>
        <v>1.0029931972789119E-2</v>
      </c>
      <c r="BS100" s="545">
        <f t="shared" si="155"/>
        <v>3.7232486463973362E-2</v>
      </c>
      <c r="BT100" s="545">
        <f t="shared" si="156"/>
        <v>1.2512980214660078E-2</v>
      </c>
      <c r="BU100" s="545">
        <f t="shared" si="157"/>
        <v>6.0002266830791455E-2</v>
      </c>
      <c r="BV100" s="545">
        <f t="shared" si="158"/>
        <v>2.5714285714285721E-2</v>
      </c>
      <c r="BW100" s="471">
        <f t="shared" si="171"/>
        <v>85.716552545077178</v>
      </c>
      <c r="BX100" s="178">
        <f t="shared" si="172"/>
        <v>0.32140290926497367</v>
      </c>
      <c r="BY100" s="5">
        <f t="shared" si="173"/>
        <v>4.5600000000000005</v>
      </c>
      <c r="BZ100" s="178">
        <f t="shared" si="174"/>
        <v>0.93415767654521076</v>
      </c>
      <c r="CA100" s="5">
        <f t="shared" si="175"/>
        <v>93.415767654521076</v>
      </c>
      <c r="CD100" s="580">
        <f t="shared" si="159"/>
        <v>-50</v>
      </c>
      <c r="CE100">
        <f t="shared" si="160"/>
        <v>-50</v>
      </c>
    </row>
    <row r="101" spans="5:83" x14ac:dyDescent="0.2">
      <c r="E101" s="175">
        <v>96</v>
      </c>
      <c r="F101" s="222">
        <f t="shared" si="161"/>
        <v>0.38400000000000001</v>
      </c>
      <c r="G101" s="222"/>
      <c r="H101" s="222">
        <f t="shared" ref="H101:H105" si="177">F101*Vout</f>
        <v>4.6080000000000005</v>
      </c>
      <c r="I101" s="558">
        <f t="shared" si="114"/>
        <v>24</v>
      </c>
      <c r="J101" s="177">
        <f t="shared" si="115"/>
        <v>24.5</v>
      </c>
      <c r="K101" s="453">
        <f t="shared" si="116"/>
        <v>48.5</v>
      </c>
      <c r="L101" s="453"/>
      <c r="M101" s="222">
        <f t="shared" si="117"/>
        <v>0.50515463917525771</v>
      </c>
      <c r="N101" s="177">
        <f t="shared" si="118"/>
        <v>8.3502061855670089</v>
      </c>
      <c r="O101" s="177">
        <f t="shared" si="162"/>
        <v>4.6080000000000005</v>
      </c>
      <c r="P101" s="222">
        <f t="shared" ref="P101:P105" si="178">N101/Vout</f>
        <v>0.69585051546391741</v>
      </c>
      <c r="Q101" s="222">
        <f t="shared" si="120"/>
        <v>12</v>
      </c>
      <c r="R101" s="222">
        <f t="shared" ref="R101:R105" si="179">Isw_max/2*I101*Nps*(Q101+Vfwd1)/Q101/(I101+Nps*(Q101+Vfwd1))</f>
        <v>0.73247422680412366</v>
      </c>
      <c r="S101" s="177">
        <f t="shared" si="122"/>
        <v>31.142439411566389</v>
      </c>
      <c r="T101" s="549">
        <f t="shared" ref="T101:T105" si="180">MIN(Vout, S101)</f>
        <v>12</v>
      </c>
      <c r="U101" s="549">
        <f t="shared" si="124"/>
        <v>0.80017185821697123</v>
      </c>
      <c r="V101" s="222">
        <f t="shared" ref="V101:V105" si="181">L*U101/I101*1000000</f>
        <v>2.800601503759399</v>
      </c>
      <c r="W101" s="222">
        <f t="shared" si="126"/>
        <v>2.7434463710296151</v>
      </c>
      <c r="X101" s="202">
        <f t="shared" si="127"/>
        <v>350</v>
      </c>
      <c r="Y101" s="453">
        <f t="shared" si="163"/>
        <v>180.37362277252276</v>
      </c>
      <c r="AA101" s="222">
        <f t="shared" si="128"/>
        <v>0.41237113402061859</v>
      </c>
      <c r="AB101" s="178">
        <f t="shared" ref="AB101:AB105" si="182">L*AA101/J101*1000000</f>
        <v>1.4138438880706923</v>
      </c>
      <c r="AC101" s="178">
        <f t="shared" ref="AC101:AC105" si="183">0.5*AB101*AA101*Nps*X101/1000</f>
        <v>0.20405994260814117</v>
      </c>
      <c r="AD101" s="178"/>
      <c r="AE101" s="178">
        <f t="shared" si="131"/>
        <v>0.99428571428571422</v>
      </c>
      <c r="AF101" s="562">
        <f t="shared" si="176"/>
        <v>1331.7479191438767</v>
      </c>
      <c r="AG101" s="545">
        <f t="shared" si="132"/>
        <v>0.10091999999999998</v>
      </c>
      <c r="AI101" s="178">
        <f t="shared" si="133"/>
        <v>0.58038100008800941</v>
      </c>
      <c r="AJ101" s="178">
        <f t="shared" ref="AJ101:AJ105" si="184">MAX(IF(F101&gt;AC101,U101,AI101),Isw_min)</f>
        <v>0.80017185821697123</v>
      </c>
      <c r="AK101" s="178">
        <f t="shared" ref="AK101:AK105" si="185">IF(F101&gt;AG101, (AJ101-Isw_min)/1.08*0.8+1.2, AF101*0.2/350+1)</f>
        <v>1.5779050801607193</v>
      </c>
      <c r="AM101" s="562">
        <f t="shared" si="136"/>
        <v>384</v>
      </c>
      <c r="AN101" s="471">
        <f t="shared" si="137"/>
        <v>180.37362277252276</v>
      </c>
      <c r="AP101">
        <f t="shared" si="138"/>
        <v>384</v>
      </c>
      <c r="AQ101">
        <f t="shared" si="139"/>
        <v>180.37362277252276</v>
      </c>
      <c r="AS101" s="5">
        <f t="shared" si="164"/>
        <v>5.5440478747890136</v>
      </c>
      <c r="AT101" s="5">
        <f t="shared" si="140"/>
        <v>2.800601503759399</v>
      </c>
      <c r="AU101" s="5">
        <f t="shared" si="165"/>
        <v>2.7434463710296146</v>
      </c>
      <c r="AV101" s="5">
        <f t="shared" si="141"/>
        <v>2.7434463710296151</v>
      </c>
      <c r="AW101" s="178">
        <f t="shared" si="166"/>
        <v>0.50515463917525782</v>
      </c>
      <c r="AX101" s="178">
        <f t="shared" si="142"/>
        <v>4.8505263157894758</v>
      </c>
      <c r="AY101" s="178">
        <f t="shared" si="143"/>
        <v>0.39596133190118155</v>
      </c>
      <c r="AZ101" s="178">
        <f t="shared" si="167"/>
        <v>12.250000000000005</v>
      </c>
      <c r="BA101" s="471">
        <f t="shared" si="144"/>
        <v>8.9619248120300767</v>
      </c>
      <c r="BB101" s="5">
        <f t="shared" si="145"/>
        <v>0.46205412564709303</v>
      </c>
      <c r="BC101" s="5"/>
      <c r="BD101" s="178">
        <f t="shared" si="168"/>
        <v>0.32834833533559316</v>
      </c>
      <c r="BE101" s="178">
        <f t="shared" si="146"/>
        <v>0.64996114215075484</v>
      </c>
      <c r="BF101" s="178"/>
      <c r="BG101" s="545">
        <f t="shared" si="147"/>
        <v>3.7734420261179291E-2</v>
      </c>
      <c r="BH101" s="545">
        <f t="shared" si="148"/>
        <v>5.2500000000000019E-2</v>
      </c>
      <c r="BI101" s="545">
        <f t="shared" si="149"/>
        <v>2.2546702846565343E-3</v>
      </c>
      <c r="BJ101" s="545">
        <f t="shared" si="150"/>
        <v>2.1214192708333333E-2</v>
      </c>
      <c r="BK101">
        <f t="shared" si="151"/>
        <v>6.96E-3</v>
      </c>
      <c r="BL101" s="545">
        <f t="shared" ref="BL101:BL105" si="186">(BH101+BI101+BJ101+BK101+BG101*(1+RdsonTC*(Ta-25)))/(1-BG101*RdsonTC*ThetaJA)</f>
        <v>0.12226185413861031</v>
      </c>
      <c r="BM101" s="471">
        <f t="shared" si="169"/>
        <v>122.2618541386103</v>
      </c>
      <c r="BN101" s="545">
        <f t="shared" si="153"/>
        <v>0.1152</v>
      </c>
      <c r="BO101" s="545"/>
      <c r="BQ101" s="471">
        <f t="shared" si="170"/>
        <v>115.2</v>
      </c>
      <c r="BR101" s="545">
        <f t="shared" si="154"/>
        <v>1.0242199785177238E-2</v>
      </c>
      <c r="BS101" s="545">
        <f t="shared" si="155"/>
        <v>3.8020453767532235E-2</v>
      </c>
      <c r="BT101" s="545">
        <f t="shared" si="156"/>
        <v>1.2512980214660088E-2</v>
      </c>
      <c r="BU101" s="545">
        <f t="shared" ref="BU101:BU105" si="187">(BT101+(BR101+BS101)*(1+Ltc*(Ta-25)))/(1-(BR101+BS101)*Ltc*ThetaCa)</f>
        <v>6.1011198755238326E-2</v>
      </c>
      <c r="BV101" s="545">
        <f t="shared" si="158"/>
        <v>2.5984962406015052E-2</v>
      </c>
      <c r="BW101" s="471">
        <f t="shared" si="171"/>
        <v>86.996161161253369</v>
      </c>
      <c r="BX101" s="178">
        <f t="shared" si="172"/>
        <v>0.32445801529986368</v>
      </c>
      <c r="BY101" s="5">
        <f t="shared" si="173"/>
        <v>4.6080000000000005</v>
      </c>
      <c r="BZ101" s="178">
        <f t="shared" si="174"/>
        <v>0.93421981205041471</v>
      </c>
      <c r="CA101" s="5">
        <f t="shared" si="175"/>
        <v>93.421981205041476</v>
      </c>
      <c r="CD101" s="580">
        <f t="shared" si="159"/>
        <v>-50</v>
      </c>
      <c r="CE101">
        <f t="shared" si="160"/>
        <v>-50</v>
      </c>
    </row>
    <row r="102" spans="5:83" x14ac:dyDescent="0.2">
      <c r="E102" s="175">
        <v>97</v>
      </c>
      <c r="F102" s="222">
        <f t="shared" ref="F102:F105" si="188">IF(PLOT_TYPE=1, E102/100*Iout_max, min_I*EXP(N102*rr/100))</f>
        <v>0.38800000000000001</v>
      </c>
      <c r="G102" s="222"/>
      <c r="H102" s="222">
        <f t="shared" si="177"/>
        <v>4.6560000000000006</v>
      </c>
      <c r="I102" s="558">
        <f t="shared" si="114"/>
        <v>24</v>
      </c>
      <c r="J102" s="177">
        <f t="shared" si="115"/>
        <v>24.5</v>
      </c>
      <c r="K102" s="453">
        <f t="shared" si="116"/>
        <v>48.5</v>
      </c>
      <c r="L102" s="453"/>
      <c r="M102" s="222">
        <f t="shared" si="117"/>
        <v>0.50515463917525771</v>
      </c>
      <c r="N102" s="177">
        <f t="shared" si="118"/>
        <v>8.3502061855670089</v>
      </c>
      <c r="O102" s="177">
        <f t="shared" si="162"/>
        <v>4.6560000000000006</v>
      </c>
      <c r="P102" s="222">
        <f t="shared" si="178"/>
        <v>0.69585051546391741</v>
      </c>
      <c r="Q102" s="222">
        <f t="shared" si="120"/>
        <v>12</v>
      </c>
      <c r="R102" s="222">
        <f t="shared" si="179"/>
        <v>0.73247422680412366</v>
      </c>
      <c r="S102" s="177">
        <f t="shared" si="122"/>
        <v>30.700023243827125</v>
      </c>
      <c r="T102" s="549">
        <f t="shared" si="180"/>
        <v>12</v>
      </c>
      <c r="U102" s="549">
        <f t="shared" si="124"/>
        <v>0.80850698174006463</v>
      </c>
      <c r="V102" s="222">
        <f t="shared" si="181"/>
        <v>2.8297744360902262</v>
      </c>
      <c r="W102" s="222">
        <f t="shared" si="126"/>
        <v>2.7720239373945073</v>
      </c>
      <c r="X102" s="202">
        <f t="shared" si="127"/>
        <v>350</v>
      </c>
      <c r="Y102" s="453">
        <f t="shared" si="163"/>
        <v>178.51410088826992</v>
      </c>
      <c r="AA102" s="222">
        <f t="shared" si="128"/>
        <v>0.41237113402061859</v>
      </c>
      <c r="AB102" s="178">
        <f t="shared" si="182"/>
        <v>1.4138438880706923</v>
      </c>
      <c r="AC102" s="178">
        <f t="shared" si="183"/>
        <v>0.20405994260814117</v>
      </c>
      <c r="AD102" s="178"/>
      <c r="AE102" s="178">
        <f t="shared" si="131"/>
        <v>0.99428571428571422</v>
      </c>
      <c r="AF102" s="562">
        <f t="shared" si="176"/>
        <v>1345.6202933016255</v>
      </c>
      <c r="AG102" s="545">
        <f t="shared" si="132"/>
        <v>0.10091999999999998</v>
      </c>
      <c r="AI102" s="178">
        <f t="shared" si="133"/>
        <v>0.58339598661028036</v>
      </c>
      <c r="AJ102" s="178">
        <f t="shared" si="184"/>
        <v>0.80850698174006463</v>
      </c>
      <c r="AK102" s="178">
        <f t="shared" si="185"/>
        <v>1.5840792457333812</v>
      </c>
      <c r="AM102" s="562">
        <f t="shared" si="136"/>
        <v>388</v>
      </c>
      <c r="AN102" s="471">
        <f t="shared" si="137"/>
        <v>178.51410088826992</v>
      </c>
      <c r="AP102">
        <f t="shared" si="138"/>
        <v>388</v>
      </c>
      <c r="AQ102">
        <f t="shared" si="139"/>
        <v>178.51410088826992</v>
      </c>
      <c r="AS102" s="5">
        <f t="shared" si="164"/>
        <v>5.6017983734847334</v>
      </c>
      <c r="AT102" s="5">
        <f t="shared" si="140"/>
        <v>2.8297744360902262</v>
      </c>
      <c r="AU102" s="5">
        <f t="shared" si="165"/>
        <v>2.7720239373945073</v>
      </c>
      <c r="AV102" s="5">
        <f t="shared" si="141"/>
        <v>2.7720239373945073</v>
      </c>
      <c r="AW102" s="178">
        <f t="shared" si="166"/>
        <v>0.50515463917525771</v>
      </c>
      <c r="AX102" s="178">
        <f t="shared" si="142"/>
        <v>4.9010526315789482</v>
      </c>
      <c r="AY102" s="178">
        <f t="shared" si="143"/>
        <v>0.40008592910848562</v>
      </c>
      <c r="AZ102" s="178">
        <f t="shared" si="167"/>
        <v>12.249999999999998</v>
      </c>
      <c r="BA102" s="471">
        <f t="shared" si="144"/>
        <v>9.1496040100250653</v>
      </c>
      <c r="BB102" s="5">
        <f t="shared" si="145"/>
        <v>0.4717303893460828</v>
      </c>
      <c r="BC102" s="5"/>
      <c r="BD102" s="178">
        <f t="shared" si="168"/>
        <v>0.33176863049533883</v>
      </c>
      <c r="BE102" s="178">
        <f t="shared" si="146"/>
        <v>0.65673157071482524</v>
      </c>
      <c r="BF102" s="178"/>
      <c r="BG102" s="545">
        <f t="shared" si="147"/>
        <v>3.8524648463263436E-2</v>
      </c>
      <c r="BH102" s="545">
        <f t="shared" si="148"/>
        <v>5.2499999999999998E-2</v>
      </c>
      <c r="BI102" s="545">
        <f t="shared" si="149"/>
        <v>2.2314262611033736E-3</v>
      </c>
      <c r="BJ102" s="545">
        <f t="shared" si="150"/>
        <v>2.0995489690721649E-2</v>
      </c>
      <c r="BK102">
        <f t="shared" si="151"/>
        <v>6.96E-3</v>
      </c>
      <c r="BL102" s="545">
        <f t="shared" si="186"/>
        <v>0.12285148314992252</v>
      </c>
      <c r="BM102" s="471">
        <f t="shared" si="169"/>
        <v>122.85148314992252</v>
      </c>
      <c r="BN102" s="545">
        <f t="shared" si="153"/>
        <v>0.1164</v>
      </c>
      <c r="BO102" s="545"/>
      <c r="BQ102" s="471">
        <f t="shared" si="170"/>
        <v>116.4</v>
      </c>
      <c r="BR102" s="545">
        <f t="shared" si="154"/>
        <v>1.0456690297171504E-2</v>
      </c>
      <c r="BS102" s="545">
        <f t="shared" si="155"/>
        <v>3.8816672037620535E-2</v>
      </c>
      <c r="BT102" s="545">
        <f t="shared" si="156"/>
        <v>1.2512980214660081E-2</v>
      </c>
      <c r="BU102" s="545">
        <f t="shared" si="187"/>
        <v>6.2030860072997372E-2</v>
      </c>
      <c r="BV102" s="545">
        <f t="shared" si="158"/>
        <v>2.6255639097744369E-2</v>
      </c>
      <c r="BW102" s="471">
        <f t="shared" si="171"/>
        <v>88.286499170741749</v>
      </c>
      <c r="BX102" s="178">
        <f t="shared" si="172"/>
        <v>0.32753798232066422</v>
      </c>
      <c r="BY102" s="5">
        <f t="shared" si="173"/>
        <v>4.6560000000000006</v>
      </c>
      <c r="BZ102" s="178">
        <f t="shared" si="174"/>
        <v>0.9342760136508198</v>
      </c>
      <c r="CA102" s="5">
        <f t="shared" si="175"/>
        <v>93.427601365081983</v>
      </c>
      <c r="CD102" s="580">
        <f t="shared" si="159"/>
        <v>-50</v>
      </c>
      <c r="CE102">
        <f t="shared" si="160"/>
        <v>-50</v>
      </c>
    </row>
    <row r="103" spans="5:83" x14ac:dyDescent="0.2">
      <c r="E103" s="175">
        <v>98</v>
      </c>
      <c r="F103" s="222">
        <f t="shared" si="188"/>
        <v>0.39200000000000002</v>
      </c>
      <c r="G103" s="222"/>
      <c r="H103" s="222">
        <f t="shared" si="177"/>
        <v>4.7040000000000006</v>
      </c>
      <c r="I103" s="558">
        <f t="shared" si="114"/>
        <v>24</v>
      </c>
      <c r="J103" s="177">
        <f t="shared" si="115"/>
        <v>24.5</v>
      </c>
      <c r="K103" s="453">
        <f t="shared" si="116"/>
        <v>48.5</v>
      </c>
      <c r="L103" s="453"/>
      <c r="M103" s="222">
        <f t="shared" si="117"/>
        <v>0.50515463917525771</v>
      </c>
      <c r="N103" s="177">
        <f t="shared" si="118"/>
        <v>8.3502061855670089</v>
      </c>
      <c r="O103" s="177">
        <f t="shared" si="162"/>
        <v>4.7040000000000006</v>
      </c>
      <c r="P103" s="222">
        <f t="shared" si="178"/>
        <v>0.69585051546391741</v>
      </c>
      <c r="Q103" s="222">
        <f t="shared" si="120"/>
        <v>12</v>
      </c>
      <c r="R103" s="222">
        <f t="shared" si="179"/>
        <v>0.73247422680412366</v>
      </c>
      <c r="S103" s="177">
        <f t="shared" si="122"/>
        <v>30.266674258582533</v>
      </c>
      <c r="T103" s="549">
        <f t="shared" si="180"/>
        <v>12</v>
      </c>
      <c r="U103" s="549">
        <f t="shared" si="124"/>
        <v>0.81684210526315815</v>
      </c>
      <c r="V103" s="222">
        <f t="shared" si="181"/>
        <v>2.8589473684210533</v>
      </c>
      <c r="W103" s="222">
        <f t="shared" si="126"/>
        <v>2.8006015037593994</v>
      </c>
      <c r="X103" s="202">
        <f t="shared" si="127"/>
        <v>350</v>
      </c>
      <c r="Y103" s="453">
        <f t="shared" si="163"/>
        <v>176.6925284302263</v>
      </c>
      <c r="AA103" s="222">
        <f t="shared" si="128"/>
        <v>0.41237113402061859</v>
      </c>
      <c r="AB103" s="178">
        <f t="shared" si="182"/>
        <v>1.4138438880706923</v>
      </c>
      <c r="AC103" s="178">
        <f t="shared" si="183"/>
        <v>0.20405994260814117</v>
      </c>
      <c r="AD103" s="178"/>
      <c r="AE103" s="178">
        <f t="shared" si="131"/>
        <v>0.99428571428571422</v>
      </c>
      <c r="AF103" s="562">
        <f t="shared" si="176"/>
        <v>1359.4926674593742</v>
      </c>
      <c r="AG103" s="545">
        <f t="shared" si="132"/>
        <v>0.10091999999999998</v>
      </c>
      <c r="AI103" s="178">
        <f t="shared" si="133"/>
        <v>0.5863954716083738</v>
      </c>
      <c r="AJ103" s="178">
        <f t="shared" si="184"/>
        <v>0.81684210526315815</v>
      </c>
      <c r="AK103" s="178">
        <f t="shared" si="185"/>
        <v>1.5902534113060431</v>
      </c>
      <c r="AM103" s="562">
        <f t="shared" si="136"/>
        <v>392</v>
      </c>
      <c r="AN103" s="471">
        <f t="shared" si="137"/>
        <v>176.6925284302263</v>
      </c>
      <c r="AP103">
        <f t="shared" si="138"/>
        <v>392</v>
      </c>
      <c r="AQ103">
        <f t="shared" si="139"/>
        <v>176.6925284302263</v>
      </c>
      <c r="AS103" s="5">
        <f t="shared" si="164"/>
        <v>5.6595488721804532</v>
      </c>
      <c r="AT103" s="5">
        <f t="shared" si="140"/>
        <v>2.8589473684210533</v>
      </c>
      <c r="AU103" s="5">
        <f t="shared" si="165"/>
        <v>2.8006015037593999</v>
      </c>
      <c r="AV103" s="5">
        <f t="shared" si="141"/>
        <v>2.8006015037593994</v>
      </c>
      <c r="AW103" s="178">
        <f t="shared" si="166"/>
        <v>0.50515463917525771</v>
      </c>
      <c r="AX103" s="178">
        <f t="shared" si="142"/>
        <v>4.9515789473684215</v>
      </c>
      <c r="AY103" s="178">
        <f t="shared" si="143"/>
        <v>0.40421052631578963</v>
      </c>
      <c r="AZ103" s="178">
        <f t="shared" si="167"/>
        <v>12.249999999999996</v>
      </c>
      <c r="BA103" s="471">
        <f t="shared" si="144"/>
        <v>9.3392280701754409</v>
      </c>
      <c r="BB103" s="5">
        <f t="shared" si="145"/>
        <v>0.4815069252077564</v>
      </c>
      <c r="BC103" s="5"/>
      <c r="BD103" s="178">
        <f t="shared" si="168"/>
        <v>0.33518892565508462</v>
      </c>
      <c r="BE103" s="178">
        <f t="shared" si="146"/>
        <v>0.66350199927889564</v>
      </c>
      <c r="BF103" s="178"/>
      <c r="BG103" s="545">
        <f t="shared" si="147"/>
        <v>3.9323065558633442E-2</v>
      </c>
      <c r="BH103" s="545">
        <f t="shared" si="148"/>
        <v>5.2499999999999991E-2</v>
      </c>
      <c r="BI103" s="545">
        <f t="shared" si="149"/>
        <v>2.2086566053778284E-3</v>
      </c>
      <c r="BJ103" s="545">
        <f t="shared" si="150"/>
        <v>2.0781249999999994E-2</v>
      </c>
      <c r="BK103">
        <f t="shared" si="151"/>
        <v>6.96E-3</v>
      </c>
      <c r="BL103" s="545">
        <f t="shared" si="186"/>
        <v>0.12345510252980973</v>
      </c>
      <c r="BM103" s="471">
        <f t="shared" si="169"/>
        <v>123.45510252980974</v>
      </c>
      <c r="BN103" s="545">
        <f t="shared" si="153"/>
        <v>0.1176</v>
      </c>
      <c r="BO103" s="545"/>
      <c r="BQ103" s="471">
        <f t="shared" si="170"/>
        <v>117.6</v>
      </c>
      <c r="BR103" s="545">
        <f t="shared" si="154"/>
        <v>1.0673403508771936E-2</v>
      </c>
      <c r="BS103" s="545">
        <f t="shared" si="155"/>
        <v>3.9621141274238242E-2</v>
      </c>
      <c r="BT103" s="545">
        <f t="shared" si="156"/>
        <v>1.2512980214660081E-2</v>
      </c>
      <c r="BU103" s="545">
        <f t="shared" si="187"/>
        <v>6.306125597066943E-2</v>
      </c>
      <c r="BV103" s="545">
        <f t="shared" si="158"/>
        <v>2.6526315789473696E-2</v>
      </c>
      <c r="BW103" s="471">
        <f t="shared" si="171"/>
        <v>89.587571760143121</v>
      </c>
      <c r="BX103" s="178">
        <f t="shared" si="172"/>
        <v>0.33064267428995281</v>
      </c>
      <c r="BY103" s="5">
        <f t="shared" si="173"/>
        <v>4.7040000000000006</v>
      </c>
      <c r="BZ103" s="178">
        <f t="shared" si="174"/>
        <v>0.93432648637043858</v>
      </c>
      <c r="CA103" s="5">
        <f t="shared" si="175"/>
        <v>93.432648637043854</v>
      </c>
      <c r="CD103" s="580">
        <f t="shared" si="159"/>
        <v>-50</v>
      </c>
      <c r="CE103">
        <f t="shared" si="160"/>
        <v>-50</v>
      </c>
    </row>
    <row r="104" spans="5:83" x14ac:dyDescent="0.2">
      <c r="E104" s="175">
        <v>99</v>
      </c>
      <c r="F104" s="222">
        <f t="shared" si="188"/>
        <v>0.39600000000000002</v>
      </c>
      <c r="G104" s="222"/>
      <c r="H104" s="222">
        <f t="shared" si="177"/>
        <v>4.7520000000000007</v>
      </c>
      <c r="I104" s="558">
        <f t="shared" si="114"/>
        <v>24</v>
      </c>
      <c r="J104" s="177">
        <f t="shared" si="115"/>
        <v>24.5</v>
      </c>
      <c r="K104" s="453">
        <f t="shared" si="116"/>
        <v>48.5</v>
      </c>
      <c r="L104" s="453"/>
      <c r="M104" s="222">
        <f t="shared" si="117"/>
        <v>0.50515463917525771</v>
      </c>
      <c r="N104" s="177">
        <f t="shared" si="118"/>
        <v>8.3502061855670089</v>
      </c>
      <c r="O104" s="177">
        <f t="shared" si="162"/>
        <v>4.7520000000000007</v>
      </c>
      <c r="P104" s="222">
        <f t="shared" si="178"/>
        <v>0.69585051546391741</v>
      </c>
      <c r="Q104" s="222">
        <f t="shared" si="120"/>
        <v>12</v>
      </c>
      <c r="R104" s="222">
        <f t="shared" si="179"/>
        <v>0.73247422680412366</v>
      </c>
      <c r="S104" s="177">
        <f t="shared" si="122"/>
        <v>29.842118121992236</v>
      </c>
      <c r="T104" s="549">
        <f t="shared" si="180"/>
        <v>12</v>
      </c>
      <c r="U104" s="549">
        <f t="shared" si="124"/>
        <v>0.82517722878625155</v>
      </c>
      <c r="V104" s="222">
        <f t="shared" si="181"/>
        <v>2.8881203007518805</v>
      </c>
      <c r="W104" s="222">
        <f t="shared" si="126"/>
        <v>2.8291790701242912</v>
      </c>
      <c r="X104" s="202">
        <f t="shared" si="127"/>
        <v>350</v>
      </c>
      <c r="Y104" s="453">
        <f t="shared" si="163"/>
        <v>174.9077554157796</v>
      </c>
      <c r="AA104" s="222">
        <f t="shared" si="128"/>
        <v>0.41237113402061859</v>
      </c>
      <c r="AB104" s="178">
        <f t="shared" si="182"/>
        <v>1.4138438880706923</v>
      </c>
      <c r="AC104" s="178">
        <f t="shared" si="183"/>
        <v>0.20405994260814117</v>
      </c>
      <c r="AD104" s="178"/>
      <c r="AE104" s="178">
        <f t="shared" si="131"/>
        <v>0.99428571428571422</v>
      </c>
      <c r="AF104" s="562">
        <f t="shared" ref="AF104:AF105" si="189">MAX(10000,F104/(0.5*AE104/1000000*Isw_min*Nps))/1000</f>
        <v>1373.3650416171229</v>
      </c>
      <c r="AG104" s="545">
        <f t="shared" si="132"/>
        <v>0.10091999999999998</v>
      </c>
      <c r="AI104" s="178">
        <f t="shared" si="133"/>
        <v>0.58937969175450189</v>
      </c>
      <c r="AJ104" s="178">
        <f t="shared" si="184"/>
        <v>0.82517722878625155</v>
      </c>
      <c r="AK104" s="178">
        <f t="shared" si="185"/>
        <v>1.5964275768787048</v>
      </c>
      <c r="AM104" s="562">
        <f t="shared" si="136"/>
        <v>396</v>
      </c>
      <c r="AN104" s="471">
        <f t="shared" si="137"/>
        <v>174.9077554157796</v>
      </c>
      <c r="AP104">
        <f t="shared" si="138"/>
        <v>396</v>
      </c>
      <c r="AQ104">
        <f t="shared" si="139"/>
        <v>174.9077554157796</v>
      </c>
      <c r="AS104" s="5">
        <f t="shared" si="164"/>
        <v>5.7172993708761712</v>
      </c>
      <c r="AT104" s="5">
        <f t="shared" si="140"/>
        <v>2.8881203007518805</v>
      </c>
      <c r="AU104" s="5">
        <f t="shared" si="165"/>
        <v>2.8291790701242907</v>
      </c>
      <c r="AV104" s="5">
        <f t="shared" si="141"/>
        <v>2.8291790701242912</v>
      </c>
      <c r="AW104" s="178">
        <f t="shared" si="166"/>
        <v>0.50515463917525782</v>
      </c>
      <c r="AX104" s="178">
        <f t="shared" si="142"/>
        <v>5.0021052631578966</v>
      </c>
      <c r="AY104" s="178">
        <f t="shared" si="143"/>
        <v>0.40833512352309348</v>
      </c>
      <c r="AZ104" s="178">
        <f t="shared" si="167"/>
        <v>12.250000000000004</v>
      </c>
      <c r="BA104" s="471">
        <f t="shared" si="144"/>
        <v>9.530796992481207</v>
      </c>
      <c r="BB104" s="5">
        <f t="shared" si="145"/>
        <v>0.4913837332321136</v>
      </c>
      <c r="BC104" s="5"/>
      <c r="BD104" s="178">
        <f t="shared" si="168"/>
        <v>0.33860922081483041</v>
      </c>
      <c r="BE104" s="178">
        <f t="shared" si="146"/>
        <v>0.67027242784296592</v>
      </c>
      <c r="BF104" s="178"/>
      <c r="BG104" s="545">
        <f t="shared" si="147"/>
        <v>4.0129671547289303E-2</v>
      </c>
      <c r="BH104" s="545">
        <f t="shared" si="148"/>
        <v>5.2499999999999998E-2</v>
      </c>
      <c r="BI104" s="545">
        <f t="shared" si="149"/>
        <v>2.186346942697245E-3</v>
      </c>
      <c r="BJ104" s="545">
        <f t="shared" si="150"/>
        <v>2.0571338383838379E-2</v>
      </c>
      <c r="BK104">
        <f t="shared" si="151"/>
        <v>6.96E-3</v>
      </c>
      <c r="BL104" s="545">
        <f t="shared" si="186"/>
        <v>0.12407257752704534</v>
      </c>
      <c r="BM104" s="471">
        <f t="shared" si="169"/>
        <v>124.07257752704534</v>
      </c>
      <c r="BN104" s="545">
        <f t="shared" si="153"/>
        <v>0.1188</v>
      </c>
      <c r="BO104" s="545"/>
      <c r="BQ104" s="471">
        <f t="shared" si="170"/>
        <v>118.8</v>
      </c>
      <c r="BR104" s="545">
        <f t="shared" si="154"/>
        <v>1.0892339419978525E-2</v>
      </c>
      <c r="BS104" s="545">
        <f t="shared" si="155"/>
        <v>4.0433861477385355E-2</v>
      </c>
      <c r="BT104" s="545">
        <f t="shared" si="156"/>
        <v>1.251298021466008E-2</v>
      </c>
      <c r="BU104" s="545">
        <f t="shared" si="187"/>
        <v>6.4102391690737587E-2</v>
      </c>
      <c r="BV104" s="545">
        <f t="shared" si="158"/>
        <v>2.6796992481203017E-2</v>
      </c>
      <c r="BW104" s="471">
        <f t="shared" si="171"/>
        <v>90.899384171940596</v>
      </c>
      <c r="BX104" s="178">
        <f t="shared" si="172"/>
        <v>0.33377196169898593</v>
      </c>
      <c r="BY104" s="5">
        <f t="shared" si="173"/>
        <v>4.7520000000000007</v>
      </c>
      <c r="BZ104" s="178">
        <f t="shared" si="174"/>
        <v>0.93437142596785172</v>
      </c>
      <c r="CA104" s="5">
        <f t="shared" si="175"/>
        <v>93.437142596785179</v>
      </c>
      <c r="CD104" s="580">
        <f t="shared" si="159"/>
        <v>-50</v>
      </c>
      <c r="CE104">
        <f t="shared" si="160"/>
        <v>-50</v>
      </c>
    </row>
    <row r="105" spans="5:83" x14ac:dyDescent="0.2">
      <c r="E105" s="175">
        <v>100</v>
      </c>
      <c r="F105" s="222">
        <f t="shared" si="188"/>
        <v>0.4</v>
      </c>
      <c r="G105" s="222"/>
      <c r="H105" s="222">
        <f t="shared" si="177"/>
        <v>4.8000000000000007</v>
      </c>
      <c r="I105" s="558">
        <f t="shared" si="114"/>
        <v>24</v>
      </c>
      <c r="J105" s="177">
        <f t="shared" si="115"/>
        <v>24.5</v>
      </c>
      <c r="K105" s="453">
        <f t="shared" si="116"/>
        <v>48.5</v>
      </c>
      <c r="L105" s="453"/>
      <c r="M105" s="222">
        <f t="shared" si="117"/>
        <v>0.50515463917525771</v>
      </c>
      <c r="N105" s="177">
        <f t="shared" si="118"/>
        <v>8.3502061855670089</v>
      </c>
      <c r="O105" s="177">
        <f t="shared" si="162"/>
        <v>4.8000000000000007</v>
      </c>
      <c r="P105" s="222">
        <f t="shared" si="178"/>
        <v>0.69585051546391741</v>
      </c>
      <c r="Q105" s="222">
        <f t="shared" si="120"/>
        <v>12</v>
      </c>
      <c r="R105" s="222">
        <f t="shared" si="179"/>
        <v>0.73247422680412366</v>
      </c>
      <c r="S105" s="177">
        <f t="shared" si="122"/>
        <v>29.426091479720299</v>
      </c>
      <c r="T105" s="549">
        <f t="shared" si="180"/>
        <v>12</v>
      </c>
      <c r="U105" s="549">
        <f t="shared" si="124"/>
        <v>0.83351235230934506</v>
      </c>
      <c r="V105" s="222">
        <f t="shared" si="181"/>
        <v>2.9172932330827077</v>
      </c>
      <c r="W105" s="222">
        <f t="shared" si="126"/>
        <v>2.8577566364891829</v>
      </c>
      <c r="X105" s="202">
        <f t="shared" si="127"/>
        <v>350</v>
      </c>
      <c r="Y105" s="453">
        <f t="shared" si="163"/>
        <v>173.15867786162178</v>
      </c>
      <c r="AA105" s="222">
        <f t="shared" si="128"/>
        <v>0.41237113402061859</v>
      </c>
      <c r="AB105" s="178">
        <f t="shared" si="182"/>
        <v>1.4138438880706923</v>
      </c>
      <c r="AC105" s="178">
        <f t="shared" si="183"/>
        <v>0.20405994260814117</v>
      </c>
      <c r="AD105" s="178"/>
      <c r="AE105" s="178">
        <f t="shared" si="131"/>
        <v>0.99428571428571422</v>
      </c>
      <c r="AF105" s="562">
        <f t="shared" si="189"/>
        <v>1387.2374157748716</v>
      </c>
      <c r="AG105" s="545">
        <f t="shared" si="132"/>
        <v>0.10091999999999998</v>
      </c>
      <c r="AI105" s="178">
        <f t="shared" si="133"/>
        <v>0.5923488777590924</v>
      </c>
      <c r="AJ105" s="178">
        <f t="shared" si="184"/>
        <v>0.83351235230934506</v>
      </c>
      <c r="AK105" s="178">
        <f t="shared" si="185"/>
        <v>1.6026017424513666</v>
      </c>
      <c r="AM105" s="562">
        <f t="shared" si="136"/>
        <v>400</v>
      </c>
      <c r="AN105" s="471">
        <f t="shared" si="137"/>
        <v>173.15867786162178</v>
      </c>
      <c r="AP105">
        <f t="shared" si="138"/>
        <v>400</v>
      </c>
      <c r="AQ105" s="3">
        <f t="shared" si="139"/>
        <v>173.15867786162178</v>
      </c>
      <c r="AS105" s="5">
        <f t="shared" si="164"/>
        <v>5.775049869571891</v>
      </c>
      <c r="AT105" s="5">
        <f t="shared" si="140"/>
        <v>2.9172932330827077</v>
      </c>
      <c r="AU105" s="5">
        <f t="shared" si="165"/>
        <v>2.8577566364891833</v>
      </c>
      <c r="AV105" s="5">
        <f t="shared" si="141"/>
        <v>2.8577566364891829</v>
      </c>
      <c r="AW105" s="178">
        <f t="shared" si="166"/>
        <v>0.50515463917525771</v>
      </c>
      <c r="AX105" s="178">
        <f t="shared" si="142"/>
        <v>5.052631578947369</v>
      </c>
      <c r="AY105" s="178">
        <f t="shared" si="143"/>
        <v>0.41245972073039755</v>
      </c>
      <c r="AZ105" s="178">
        <f t="shared" si="167"/>
        <v>12.249999999999998</v>
      </c>
      <c r="BA105" s="471">
        <f t="shared" si="144"/>
        <v>9.7243107769423585</v>
      </c>
      <c r="BB105" s="5">
        <f t="shared" si="145"/>
        <v>0.50136081341915495</v>
      </c>
      <c r="BC105" s="5"/>
      <c r="BD105" s="178">
        <f t="shared" si="168"/>
        <v>0.34202951597457615</v>
      </c>
      <c r="BE105" s="178">
        <f t="shared" si="146"/>
        <v>0.67704285640703643</v>
      </c>
      <c r="BF105" s="178"/>
      <c r="BG105" s="545">
        <f t="shared" si="147"/>
        <v>4.094446642923099E-2</v>
      </c>
      <c r="BH105" s="545">
        <f t="shared" si="148"/>
        <v>5.2499999999999991E-2</v>
      </c>
      <c r="BI105" s="545">
        <f t="shared" si="149"/>
        <v>2.164483473270272E-3</v>
      </c>
      <c r="BJ105" s="545">
        <f t="shared" si="150"/>
        <v>2.0365624999999991E-2</v>
      </c>
      <c r="BK105">
        <f t="shared" si="151"/>
        <v>6.96E-3</v>
      </c>
      <c r="BL105" s="545">
        <f t="shared" si="186"/>
        <v>0.12470377954886541</v>
      </c>
      <c r="BM105" s="471">
        <f t="shared" si="169"/>
        <v>124.70377954886541</v>
      </c>
      <c r="BN105" s="545">
        <f t="shared" si="153"/>
        <v>0.12</v>
      </c>
      <c r="BO105" s="545"/>
      <c r="BQ105" s="471">
        <f t="shared" si="170"/>
        <v>120</v>
      </c>
      <c r="BR105" s="545">
        <f t="shared" si="154"/>
        <v>1.111349803079127E-2</v>
      </c>
      <c r="BS105" s="545">
        <f t="shared" si="155"/>
        <v>4.1254832647061902E-2</v>
      </c>
      <c r="BT105" s="545">
        <f t="shared" si="156"/>
        <v>1.2512980214660083E-2</v>
      </c>
      <c r="BU105" s="545">
        <f t="shared" si="187"/>
        <v>6.515427253163418E-2</v>
      </c>
      <c r="BV105" s="545">
        <f t="shared" si="158"/>
        <v>2.7067669172932341E-2</v>
      </c>
      <c r="BW105" s="471">
        <f t="shared" si="171"/>
        <v>92.221941704566518</v>
      </c>
      <c r="BX105" s="178">
        <f t="shared" si="172"/>
        <v>0.33692572125343195</v>
      </c>
      <c r="BY105" s="5">
        <f t="shared" si="173"/>
        <v>4.8000000000000007</v>
      </c>
      <c r="BZ105" s="178">
        <f t="shared" si="174"/>
        <v>0.93441101944311922</v>
      </c>
      <c r="CA105" s="5">
        <f t="shared" si="175"/>
        <v>93.441101944311924</v>
      </c>
      <c r="CD105" s="580">
        <f t="shared" si="159"/>
        <v>-50</v>
      </c>
      <c r="CE105">
        <f t="shared" si="160"/>
        <v>-50</v>
      </c>
    </row>
    <row r="106" spans="5:83" x14ac:dyDescent="0.2">
      <c r="E106" s="175"/>
      <c r="F106" s="222"/>
      <c r="G106" s="222"/>
      <c r="H106" s="222"/>
      <c r="I106" s="558"/>
      <c r="J106" s="453"/>
      <c r="K106" s="453"/>
      <c r="L106" s="453"/>
      <c r="M106" s="222"/>
      <c r="N106" s="177"/>
      <c r="O106" s="177"/>
      <c r="P106" s="222"/>
      <c r="Q106" s="222"/>
      <c r="R106" s="222"/>
      <c r="S106" s="177"/>
      <c r="T106" s="177"/>
      <c r="U106" s="222"/>
      <c r="V106" s="222"/>
      <c r="W106" s="222"/>
      <c r="X106" s="202"/>
      <c r="Y106" s="453"/>
      <c r="AA106" s="222"/>
      <c r="AB106" s="178"/>
      <c r="AC106" s="178"/>
      <c r="AD106" s="178"/>
      <c r="AE106" s="178"/>
      <c r="AF106" s="562"/>
      <c r="AI106" s="178"/>
      <c r="AJ106" s="178"/>
      <c r="AK106" s="178"/>
      <c r="AM106" s="562"/>
      <c r="AN106" s="471"/>
      <c r="AQ106" s="3"/>
      <c r="AS106" s="5"/>
      <c r="AT106" s="5"/>
      <c r="AU106" s="5"/>
      <c r="AV106" s="5"/>
      <c r="AW106" s="178"/>
      <c r="AX106" s="178"/>
      <c r="AY106" s="178"/>
      <c r="AZ106" s="178"/>
      <c r="BA106" s="471"/>
      <c r="BB106" s="5"/>
      <c r="BC106" s="5"/>
      <c r="BD106" s="178"/>
      <c r="BE106" s="178"/>
      <c r="BF106" s="178"/>
      <c r="BG106" s="545"/>
      <c r="BH106" s="545"/>
      <c r="BI106" s="545"/>
      <c r="BJ106" s="545"/>
      <c r="BM106" s="471"/>
      <c r="BN106" s="545"/>
      <c r="BO106" s="545"/>
      <c r="BQ106" s="471"/>
      <c r="BR106" s="545"/>
      <c r="BS106" s="545"/>
      <c r="BT106" s="545"/>
      <c r="BU106" s="545"/>
      <c r="BV106" s="545"/>
      <c r="BW106" s="471"/>
      <c r="BX106" s="178"/>
      <c r="BY106" s="5"/>
      <c r="BZ106" s="178"/>
      <c r="CA106" s="5"/>
      <c r="CD106" s="580"/>
    </row>
    <row r="107" spans="5:83" x14ac:dyDescent="0.2">
      <c r="H107" s="222"/>
      <c r="I107" s="558"/>
      <c r="J107" s="453"/>
      <c r="K107" s="453"/>
      <c r="L107" s="453"/>
      <c r="M107" s="222"/>
      <c r="N107" s="177"/>
      <c r="O107" s="177"/>
      <c r="P107" s="222"/>
      <c r="Q107" s="222"/>
      <c r="R107" s="222"/>
      <c r="S107" s="177"/>
      <c r="T107" s="177"/>
      <c r="U107" s="222"/>
      <c r="V107" s="222"/>
      <c r="W107" s="222"/>
      <c r="X107" s="202"/>
      <c r="Y107" s="453"/>
      <c r="AA107" s="222"/>
      <c r="AB107" s="178"/>
      <c r="AC107" s="178"/>
      <c r="AD107" s="178"/>
      <c r="AE107" s="178"/>
      <c r="AF107" s="562"/>
      <c r="AI107" s="178"/>
      <c r="AJ107" s="178"/>
      <c r="AK107" s="178"/>
      <c r="AM107" s="562"/>
      <c r="AN107" s="471"/>
      <c r="AS107" s="5"/>
      <c r="AT107" s="5"/>
      <c r="AU107" s="5"/>
      <c r="AV107" s="5"/>
      <c r="AW107" s="178"/>
      <c r="AX107" s="178"/>
      <c r="AY107" s="178"/>
      <c r="AZ107" s="178"/>
      <c r="BD107" s="178"/>
      <c r="BE107" s="178"/>
      <c r="BG107" s="545"/>
      <c r="BH107" s="545"/>
      <c r="BI107" s="545"/>
      <c r="BJ107" s="545"/>
      <c r="BM107" s="471"/>
      <c r="BN107" s="545"/>
      <c r="BQ107" s="471"/>
      <c r="BR107" s="545"/>
      <c r="BS107" s="545"/>
      <c r="BT107" s="545"/>
      <c r="BU107" s="545"/>
      <c r="BV107" s="545"/>
      <c r="BW107" s="471"/>
      <c r="BX107" s="178"/>
      <c r="BY107" s="5"/>
      <c r="BZ107" s="178"/>
      <c r="CA107" s="5"/>
      <c r="CD107" s="580"/>
    </row>
    <row r="108" spans="5:83" x14ac:dyDescent="0.2">
      <c r="E108" s="455" t="s">
        <v>445</v>
      </c>
      <c r="H108" s="222"/>
      <c r="I108" s="558"/>
      <c r="J108" s="453"/>
      <c r="K108" s="453"/>
      <c r="L108" s="453"/>
      <c r="M108" s="222"/>
      <c r="N108" s="177"/>
      <c r="O108" s="177"/>
      <c r="P108" s="222"/>
      <c r="Q108" s="222"/>
      <c r="R108" s="222"/>
      <c r="S108" s="177"/>
      <c r="T108" s="177"/>
      <c r="U108" s="222"/>
      <c r="V108" s="222"/>
      <c r="W108" s="222"/>
      <c r="X108" s="202"/>
      <c r="Y108" s="453"/>
      <c r="AA108" s="222"/>
      <c r="AB108" s="178"/>
      <c r="AC108" s="178"/>
      <c r="AD108" s="178"/>
      <c r="AE108" s="178"/>
      <c r="AF108" s="562"/>
      <c r="AI108" s="178"/>
      <c r="AJ108" s="178"/>
      <c r="AK108" s="178"/>
      <c r="AM108" s="562"/>
      <c r="AN108" s="471"/>
      <c r="AS108" s="5"/>
      <c r="AT108" s="5"/>
      <c r="AU108" s="5"/>
      <c r="AV108" s="5"/>
      <c r="AW108" s="178"/>
      <c r="AX108" s="178"/>
      <c r="AY108" s="178"/>
      <c r="AZ108" s="178"/>
      <c r="BD108" s="178"/>
      <c r="BE108" s="178"/>
      <c r="BG108" s="545"/>
      <c r="BH108" s="545"/>
      <c r="BI108" s="545"/>
      <c r="BJ108" s="545"/>
      <c r="BM108" s="471"/>
      <c r="BN108" s="545"/>
      <c r="BQ108" s="471"/>
      <c r="BR108" s="545"/>
      <c r="BS108" s="545"/>
      <c r="BT108" s="545"/>
      <c r="BU108" s="545"/>
      <c r="BV108" s="545"/>
      <c r="BW108" s="471"/>
      <c r="BX108" s="178"/>
      <c r="BY108" s="5"/>
      <c r="BZ108" s="178"/>
      <c r="CA108" s="5"/>
      <c r="CD108" s="580"/>
    </row>
    <row r="109" spans="5:83" ht="45" customHeight="1" thickBot="1" x14ac:dyDescent="0.25">
      <c r="E109" s="246" t="s">
        <v>25</v>
      </c>
      <c r="F109" s="454" t="s">
        <v>195</v>
      </c>
      <c r="G109" s="265"/>
      <c r="H109" s="544" t="s">
        <v>224</v>
      </c>
      <c r="I109" s="247" t="s">
        <v>423</v>
      </c>
      <c r="J109" s="248" t="s">
        <v>429</v>
      </c>
      <c r="K109" s="544" t="s">
        <v>424</v>
      </c>
      <c r="L109" s="544"/>
      <c r="M109" s="249" t="s">
        <v>48</v>
      </c>
      <c r="N109" s="544" t="s">
        <v>413</v>
      </c>
      <c r="O109" s="544" t="s">
        <v>681</v>
      </c>
      <c r="P109" s="544" t="s">
        <v>414</v>
      </c>
      <c r="Q109" s="544" t="s">
        <v>444</v>
      </c>
      <c r="R109" s="544" t="s">
        <v>679</v>
      </c>
      <c r="S109" s="544" t="s">
        <v>682</v>
      </c>
      <c r="T109" s="544" t="s">
        <v>680</v>
      </c>
      <c r="U109" s="544" t="s">
        <v>425</v>
      </c>
      <c r="V109" s="544" t="s">
        <v>477</v>
      </c>
      <c r="W109" s="544" t="s">
        <v>476</v>
      </c>
      <c r="X109" s="564" t="s">
        <v>431</v>
      </c>
      <c r="Y109" s="559" t="s">
        <v>436</v>
      </c>
      <c r="AA109" s="250" t="s">
        <v>428</v>
      </c>
      <c r="AB109" s="250" t="s">
        <v>475</v>
      </c>
      <c r="AC109" s="250" t="s">
        <v>434</v>
      </c>
      <c r="AD109" s="561"/>
      <c r="AE109" s="250" t="s">
        <v>474</v>
      </c>
      <c r="AF109" s="250" t="s">
        <v>437</v>
      </c>
      <c r="AG109" s="250" t="s">
        <v>438</v>
      </c>
      <c r="AH109" s="561"/>
      <c r="AI109" s="250" t="s">
        <v>440</v>
      </c>
      <c r="AJ109" s="565" t="s">
        <v>441</v>
      </c>
      <c r="AK109" s="565" t="s">
        <v>442</v>
      </c>
      <c r="AM109" s="560" t="s">
        <v>276</v>
      </c>
      <c r="AN109" s="560" t="s">
        <v>443</v>
      </c>
      <c r="AP109" s="250" t="s">
        <v>276</v>
      </c>
      <c r="AQ109" s="250" t="s">
        <v>443</v>
      </c>
      <c r="AR109" s="566"/>
      <c r="AS109" s="250" t="s">
        <v>478</v>
      </c>
      <c r="AT109" s="5"/>
      <c r="AU109" s="5"/>
      <c r="AV109" s="5"/>
      <c r="AW109" s="178"/>
      <c r="AX109" s="178"/>
      <c r="AY109" s="178"/>
      <c r="AZ109" s="178"/>
      <c r="BA109" s="250" t="s">
        <v>493</v>
      </c>
      <c r="BB109" s="250" t="s">
        <v>494</v>
      </c>
      <c r="BC109" s="561"/>
      <c r="BD109" s="575" t="s">
        <v>467</v>
      </c>
      <c r="BE109" s="250" t="s">
        <v>468</v>
      </c>
      <c r="BF109" s="561"/>
      <c r="BG109" s="575" t="s">
        <v>485</v>
      </c>
      <c r="BH109" s="250" t="s">
        <v>486</v>
      </c>
      <c r="BI109" s="250" t="s">
        <v>484</v>
      </c>
      <c r="BJ109" s="250" t="s">
        <v>480</v>
      </c>
      <c r="BK109" s="250" t="s">
        <v>489</v>
      </c>
      <c r="BL109" s="250"/>
      <c r="BM109" s="250" t="s">
        <v>504</v>
      </c>
      <c r="BN109" s="575" t="s">
        <v>487</v>
      </c>
      <c r="BO109" s="250" t="s">
        <v>488</v>
      </c>
      <c r="BP109" s="250" t="s">
        <v>496</v>
      </c>
      <c r="BQ109" s="250" t="s">
        <v>500</v>
      </c>
      <c r="BR109" s="575" t="s">
        <v>469</v>
      </c>
      <c r="BS109" s="250" t="s">
        <v>470</v>
      </c>
      <c r="BT109" s="250" t="s">
        <v>479</v>
      </c>
      <c r="BU109" s="250"/>
      <c r="BV109" s="250" t="s">
        <v>497</v>
      </c>
      <c r="BW109" s="250" t="s">
        <v>499</v>
      </c>
      <c r="BX109" s="575" t="s">
        <v>495</v>
      </c>
      <c r="BY109" s="250" t="s">
        <v>224</v>
      </c>
      <c r="BZ109" s="250" t="s">
        <v>47</v>
      </c>
      <c r="CA109" s="250" t="s">
        <v>498</v>
      </c>
      <c r="CB109" s="250"/>
      <c r="CD109" s="580"/>
    </row>
    <row r="110" spans="5:83" x14ac:dyDescent="0.2">
      <c r="E110" s="175">
        <v>0.1</v>
      </c>
      <c r="F110" s="222">
        <v>1.0000000000000001E-9</v>
      </c>
      <c r="G110" s="222"/>
      <c r="H110" s="222">
        <f t="shared" ref="H110:H141" si="190">F110*Vout</f>
        <v>1.2000000000000002E-8</v>
      </c>
      <c r="I110" s="558">
        <f t="shared" ref="I110:I141" si="191">VIN_min</f>
        <v>21.6</v>
      </c>
      <c r="J110" s="453">
        <f t="shared" ref="J110:J141" si="192">(T110+Vfwd1)*Nps</f>
        <v>24.5</v>
      </c>
      <c r="K110" s="453">
        <f t="shared" ref="K110:K141" si="193">(Vout+Vfwd1)*Nps+I110</f>
        <v>46.1</v>
      </c>
      <c r="L110" s="453"/>
      <c r="M110" s="222">
        <f t="shared" ref="M110:M141" si="194">(Vout+Vfwd1)*Nps/((Vout+Vfwd1)*Nps+I110)</f>
        <v>0.53145336225596529</v>
      </c>
      <c r="N110" s="177">
        <f>M110*I110*Isw_max*0.5*Efficiency</f>
        <v>7.9064316702819957</v>
      </c>
      <c r="O110" s="177">
        <f t="shared" si="162"/>
        <v>1.2000000000000002E-8</v>
      </c>
      <c r="P110" s="222">
        <f t="shared" ref="P110:P141" si="195">N110/Vout</f>
        <v>0.65886930585683301</v>
      </c>
      <c r="Q110" s="222">
        <f t="shared" ref="Q110:Q141" si="196">MIN(Vout,N110/F110)</f>
        <v>12</v>
      </c>
      <c r="R110" s="222"/>
      <c r="S110" s="177">
        <f t="shared" ref="S110:S141" si="197">(SQRT(Isw_max^2*Nps^2*I110^2+4*Isw_max*F110/Efficiency*(Nps^2*Vfwd1*I110-Nps*I110^2)+4*(F110/Efficiency)^2*Nps^2*Vfwd1^2+8*(F110/Efficiency)^2*Nps*Vfwd1*I110+4*(F110/Efficiency)^2*I110^2)-2*F110/Efficiency*I110-2*F110/Efficiency*Nps*Vfwd1+Isw_max*Nps*I110)/(4*F110/Efficiency*Nps)</f>
        <v>14876999989.199999</v>
      </c>
      <c r="T110" s="177">
        <f t="shared" ref="T110:T141" si="198">MIN(Vout, S110)</f>
        <v>12</v>
      </c>
      <c r="U110" s="222">
        <f t="shared" ref="U110:U141" si="199">MIN(2*Vout*F110/(Efficiency*I110*M110), Isw_max)</f>
        <v>2.2007399451008474E-9</v>
      </c>
      <c r="V110" s="222">
        <f t="shared" ref="V110:V141" si="200">L*U110/I110*1000000</f>
        <v>8.5584331198366285E-9</v>
      </c>
      <c r="W110" s="222">
        <f t="shared" ref="W110:W141" si="201">L*U110/J110*1000000</f>
        <v>7.5453940974886191E-9</v>
      </c>
      <c r="X110" s="202">
        <f t="shared" ref="X110:X141" si="202">IF(1/((350000*L)*(1/I110+1/J110))&gt;Isw_min, 350, 0.001/((Isw_min*L)*(1/I110+1/J110)))</f>
        <v>350</v>
      </c>
      <c r="Y110" s="453">
        <f t="shared" ref="Y110:Y169" si="203">MIN(1/(V110+W110)*1000, 350)</f>
        <v>350</v>
      </c>
      <c r="AA110" s="222">
        <f t="shared" ref="AA110:AA141" si="204">1/((X110*1000*L)*(1/I110+1/J110))</f>
        <v>0.39045553145336231</v>
      </c>
      <c r="AB110" s="178">
        <f t="shared" ref="AB110:AB141" si="205">L*AA110/J110*1000000</f>
        <v>1.3387046792686708</v>
      </c>
      <c r="AC110" s="178">
        <f t="shared" ref="AC110:AC141" si="206">0.5*AB110*AA110*Nps*X110/1000</f>
        <v>0.18294662645103313</v>
      </c>
      <c r="AD110" s="178"/>
      <c r="AE110" s="178">
        <f t="shared" ref="AE110:AE141" si="207">L*Isw_min/J110*1000000</f>
        <v>0.99428571428571422</v>
      </c>
      <c r="AF110" s="562">
        <f t="shared" ref="AF110:AF141" si="208">MAX(10000,F110/(0.5*AE110/1000000*Isw_min*Nps))/1000</f>
        <v>10</v>
      </c>
      <c r="AG110" s="545">
        <f t="shared" ref="AG110:AG141" si="209">0.5*AE110/1000000*Isw_min*Nps*X110*1000</f>
        <v>0.10091999999999998</v>
      </c>
      <c r="AI110" s="178">
        <f t="shared" ref="AI110:AI141" si="210">SQRT(F110/(0.5*L/J110*Fsw_DCM*Nps))</f>
        <v>2.8867513459481289E-5</v>
      </c>
      <c r="AJ110" s="178">
        <f t="shared" ref="AJ110:AJ141" si="211">MAX(IF(F110&gt;AC110,U110,AI110),Isw_min)</f>
        <v>0.28999999999999998</v>
      </c>
      <c r="AK110" s="178">
        <f t="shared" ref="AK110:AK141" si="212">IF(F110&gt;AG110, (AJ110-Isw_min)/1.08*0.8+1.2, AF110*0.2/350+1)</f>
        <v>1.0057142857142858</v>
      </c>
      <c r="AM110" s="562">
        <f t="shared" ref="AM110:AM141" si="213">F110*1000</f>
        <v>1.0000000000000002E-6</v>
      </c>
      <c r="AN110" s="471">
        <f t="shared" ref="AN110:AN141" si="214">IF(F110&gt;AG110, Y110, AF110)</f>
        <v>10</v>
      </c>
      <c r="AP110" s="471">
        <f t="shared" ref="AP110:AP141" si="215">IF(H110&gt;N110, "",AM110)</f>
        <v>1.0000000000000002E-6</v>
      </c>
      <c r="AQ110" s="471">
        <f t="shared" ref="AQ110:AQ141" si="216">IF(H110&gt;N110, "",AN110)</f>
        <v>10</v>
      </c>
      <c r="AS110" s="5">
        <f t="shared" si="164"/>
        <v>100</v>
      </c>
      <c r="AT110" s="5">
        <f t="shared" ref="AT110:AT141" si="217">L*AJ110/I110*1000000</f>
        <v>1.1277777777777775</v>
      </c>
      <c r="AU110" s="5">
        <f t="shared" ref="AU110:AU169" si="218">AS110-AT110</f>
        <v>98.87222222222222</v>
      </c>
      <c r="AV110" s="5"/>
      <c r="AW110" s="178">
        <f t="shared" ref="AW110:AW169" si="219">AT110/AS110</f>
        <v>1.1277777777777775E-2</v>
      </c>
      <c r="AX110" s="178">
        <f t="shared" si="142"/>
        <v>3.5321999999999992E-2</v>
      </c>
      <c r="AY110" s="178">
        <f t="shared" si="143"/>
        <v>0.28672944444444443</v>
      </c>
      <c r="AZ110" s="178">
        <f t="shared" si="167"/>
        <v>0.12318930156767993</v>
      </c>
      <c r="BD110" s="178">
        <f t="shared" si="168"/>
        <v>1.7780711563480905E-2</v>
      </c>
      <c r="BE110" s="178">
        <f t="shared" si="146"/>
        <v>0.33296954593253492</v>
      </c>
      <c r="BG110" s="545">
        <f t="shared" ref="BG110:BG169" si="220">Rdson*BD110^2</f>
        <v>1.1065379629629625E-4</v>
      </c>
      <c r="BH110" s="545">
        <f t="shared" ref="BH110:BH169" si="221">0.5*K110*AJ110*AN110*1000*Trise</f>
        <v>1.002675E-3</v>
      </c>
      <c r="BI110" s="545">
        <f t="shared" ref="BI110:BI169" si="222">Qg*Vdd*AN110*1000</f>
        <v>1.25E-4</v>
      </c>
      <c r="BJ110" s="545">
        <f t="shared" ref="BJ110:BJ169" si="223">0.5*(Coss+Csw)*K110^2*AN110*1000</f>
        <v>1.0626049999999999E-3</v>
      </c>
      <c r="BK110">
        <f t="shared" ref="BK110:BK169" si="224">I110*IQ</f>
        <v>6.2640000000000005E-3</v>
      </c>
      <c r="BM110" s="471">
        <f t="shared" ref="BM110:BM169" si="225">SUM(BG110:BK110)*1000</f>
        <v>8.5649337962962964</v>
      </c>
      <c r="BN110" s="545">
        <f t="shared" ref="BN110:BN169" si="226">Vfwd2*F110</f>
        <v>3E-10</v>
      </c>
      <c r="BQ110" s="471">
        <f t="shared" ref="BQ110:BQ169" si="227">SUM(BN110:BP110)*1000</f>
        <v>2.9999999999999999E-7</v>
      </c>
      <c r="BR110" s="545">
        <f t="shared" ref="BR110:BR169" si="228">Rdcr_pri*BD110^2</f>
        <v>3.0034601851851845E-5</v>
      </c>
      <c r="BS110" s="545">
        <f t="shared" ref="BS110:BS169" si="229">Rdcr_sec*BE110^2</f>
        <v>9.9781846666666639E-3</v>
      </c>
      <c r="BT110" s="545">
        <f t="shared" ref="BT110:BT169" si="230">AJ110^2.5*AN110^2.5*k_core</f>
        <v>7.1608569668720578E-7</v>
      </c>
      <c r="BU110" s="545"/>
      <c r="BV110" s="545">
        <f t="shared" ref="BV110:BV169" si="231">0.5*Lleak*0.000000001*AJ110^2*AN110*1000</f>
        <v>1.8922500000000001E-4</v>
      </c>
      <c r="BW110" s="471">
        <f t="shared" ref="BW110:BW169" si="232">SUM(BR110:BV110)*1000</f>
        <v>10.198160354215203</v>
      </c>
      <c r="BX110" s="178">
        <f t="shared" ref="BX110:BX169" si="233">SUM(BG110:BK110,BN110:BP110,BR110:BV110)</f>
        <v>1.8763094450511501E-2</v>
      </c>
      <c r="BY110" s="5">
        <f t="shared" ref="BY110:BY169" si="234">MIN(H110,O110)</f>
        <v>1.2000000000000002E-8</v>
      </c>
      <c r="BZ110" s="178">
        <f t="shared" ref="BZ110:BZ169" si="235">BY110/(BY110+BX110)</f>
        <v>6.3955294565164444E-7</v>
      </c>
      <c r="CA110" s="5">
        <f t="shared" ref="CA110:CA169" si="236">BZ110*100</f>
        <v>6.3955294565164449E-5</v>
      </c>
      <c r="CD110" s="580">
        <f t="shared" ref="CD110:CD141" si="237">IF(ABS(F110-Ioutmax_Vinmin)&lt;Iout/200, AN110, -50)</f>
        <v>-50</v>
      </c>
      <c r="CE110">
        <f t="shared" ref="CE110:CE141" si="238">IF(ABS(F110-Ioutmax_Vinmin)&lt;Iout/200, N110*BZ110, -50)</f>
        <v>-50</v>
      </c>
    </row>
    <row r="111" spans="5:83" x14ac:dyDescent="0.2">
      <c r="E111" s="175">
        <v>1</v>
      </c>
      <c r="F111" s="222">
        <f t="shared" ref="F111:F142" si="239">IF(PLOT_TYPE=1, E111/100*Iout_max, min_I*EXP(N111*rr/100))</f>
        <v>4.0000000000000001E-3</v>
      </c>
      <c r="G111" s="222"/>
      <c r="H111" s="222">
        <f t="shared" si="190"/>
        <v>4.8000000000000001E-2</v>
      </c>
      <c r="I111" s="558">
        <f t="shared" si="191"/>
        <v>21.6</v>
      </c>
      <c r="J111" s="453">
        <f t="shared" si="192"/>
        <v>24.5</v>
      </c>
      <c r="K111" s="453">
        <f t="shared" si="193"/>
        <v>46.1</v>
      </c>
      <c r="L111" s="453"/>
      <c r="M111" s="222">
        <f t="shared" si="194"/>
        <v>0.53145336225596529</v>
      </c>
      <c r="N111" s="177">
        <f t="shared" ref="N111:N141" si="240">M111*I111*Isw_max*0.5*Efficiency</f>
        <v>7.9064316702819957</v>
      </c>
      <c r="O111" s="177">
        <f t="shared" si="162"/>
        <v>4.8000000000000001E-2</v>
      </c>
      <c r="P111" s="222">
        <f t="shared" si="195"/>
        <v>0.65886930585683301</v>
      </c>
      <c r="Q111" s="222">
        <f t="shared" si="196"/>
        <v>12</v>
      </c>
      <c r="R111" s="222"/>
      <c r="S111" s="177">
        <f t="shared" si="197"/>
        <v>3708.4507280177613</v>
      </c>
      <c r="T111" s="177">
        <f t="shared" si="198"/>
        <v>12</v>
      </c>
      <c r="U111" s="222">
        <f t="shared" si="199"/>
        <v>8.8029597804033886E-3</v>
      </c>
      <c r="V111" s="222">
        <f t="shared" si="200"/>
        <v>3.423373247934651E-2</v>
      </c>
      <c r="W111" s="222">
        <f t="shared" si="201"/>
        <v>3.0181576389954477E-2</v>
      </c>
      <c r="X111" s="202">
        <f t="shared" si="202"/>
        <v>350</v>
      </c>
      <c r="Y111" s="453">
        <f t="shared" si="203"/>
        <v>350</v>
      </c>
      <c r="AA111" s="222">
        <f t="shared" si="204"/>
        <v>0.39045553145336231</v>
      </c>
      <c r="AB111" s="178">
        <f t="shared" si="205"/>
        <v>1.3387046792686708</v>
      </c>
      <c r="AC111" s="178">
        <f t="shared" si="206"/>
        <v>0.18294662645103313</v>
      </c>
      <c r="AD111" s="178"/>
      <c r="AE111" s="178">
        <f t="shared" si="207"/>
        <v>0.99428571428571422</v>
      </c>
      <c r="AF111" s="562">
        <f t="shared" si="208"/>
        <v>13.872374157748716</v>
      </c>
      <c r="AG111" s="545">
        <f t="shared" si="209"/>
        <v>0.10091999999999998</v>
      </c>
      <c r="AI111" s="178">
        <f t="shared" si="210"/>
        <v>5.7735026918962581E-2</v>
      </c>
      <c r="AJ111" s="178">
        <f t="shared" si="211"/>
        <v>0.28999999999999998</v>
      </c>
      <c r="AK111" s="178">
        <f t="shared" si="212"/>
        <v>1.007927070947285</v>
      </c>
      <c r="AM111" s="562">
        <f t="shared" si="213"/>
        <v>4</v>
      </c>
      <c r="AN111" s="471">
        <f t="shared" si="214"/>
        <v>13.872374157748716</v>
      </c>
      <c r="AP111" s="471">
        <f t="shared" si="215"/>
        <v>4</v>
      </c>
      <c r="AQ111" s="471">
        <f t="shared" si="216"/>
        <v>13.872374157748716</v>
      </c>
      <c r="AS111" s="5">
        <f t="shared" si="164"/>
        <v>72.085714285714261</v>
      </c>
      <c r="AT111" s="5">
        <f t="shared" si="217"/>
        <v>1.1277777777777775</v>
      </c>
      <c r="AU111" s="5">
        <f t="shared" si="218"/>
        <v>70.957936507936481</v>
      </c>
      <c r="AV111" s="5"/>
      <c r="AW111" s="178">
        <f t="shared" si="219"/>
        <v>1.5644955300127716E-2</v>
      </c>
      <c r="AX111" s="178">
        <f t="shared" si="142"/>
        <v>4.9000000000000002E-2</v>
      </c>
      <c r="AY111" s="178">
        <f t="shared" si="143"/>
        <v>0.28546296296296297</v>
      </c>
      <c r="AZ111" s="178">
        <f t="shared" si="167"/>
        <v>0.17165098929614012</v>
      </c>
      <c r="BD111" s="178">
        <f t="shared" si="168"/>
        <v>2.0942307583300852E-2</v>
      </c>
      <c r="BE111" s="178">
        <f t="shared" si="146"/>
        <v>0.33223337030719685</v>
      </c>
      <c r="BG111" s="545">
        <f t="shared" si="220"/>
        <v>1.5350308641975312E-4</v>
      </c>
      <c r="BH111" s="545">
        <f t="shared" si="221"/>
        <v>1.3909482758620694E-3</v>
      </c>
      <c r="BI111" s="545">
        <f t="shared" si="222"/>
        <v>1.7340467697185894E-4</v>
      </c>
      <c r="BJ111" s="545">
        <f t="shared" si="223"/>
        <v>1.4740854141894574E-3</v>
      </c>
      <c r="BK111">
        <f t="shared" si="224"/>
        <v>6.2640000000000005E-3</v>
      </c>
      <c r="BM111" s="471">
        <f t="shared" si="225"/>
        <v>9.4559414534431401</v>
      </c>
      <c r="BN111" s="545">
        <f t="shared" si="226"/>
        <v>1.1999999999999999E-3</v>
      </c>
      <c r="BQ111" s="471">
        <f t="shared" si="227"/>
        <v>1.2</v>
      </c>
      <c r="BR111" s="545">
        <f t="shared" si="228"/>
        <v>4.1665123456790135E-5</v>
      </c>
      <c r="BS111" s="545">
        <f t="shared" si="229"/>
        <v>9.9341111111111088E-3</v>
      </c>
      <c r="BT111" s="545">
        <f t="shared" si="230"/>
        <v>1.6230876889781498E-6</v>
      </c>
      <c r="BU111" s="545"/>
      <c r="BV111" s="545">
        <f t="shared" si="231"/>
        <v>2.6250000000000009E-4</v>
      </c>
      <c r="BW111" s="471">
        <f t="shared" si="232"/>
        <v>10.239899322256878</v>
      </c>
      <c r="BX111" s="178">
        <f t="shared" si="233"/>
        <v>2.0895840775700013E-2</v>
      </c>
      <c r="BY111" s="5">
        <f t="shared" si="234"/>
        <v>4.8000000000000001E-2</v>
      </c>
      <c r="BZ111" s="178">
        <f t="shared" si="235"/>
        <v>0.69670388603385613</v>
      </c>
      <c r="CA111" s="5">
        <f t="shared" si="236"/>
        <v>69.670388603385618</v>
      </c>
      <c r="CD111" s="580">
        <f t="shared" si="237"/>
        <v>-50</v>
      </c>
      <c r="CE111">
        <f t="shared" si="238"/>
        <v>-50</v>
      </c>
    </row>
    <row r="112" spans="5:83" x14ac:dyDescent="0.2">
      <c r="E112" s="175">
        <v>2</v>
      </c>
      <c r="F112" s="222">
        <f t="shared" si="239"/>
        <v>8.0000000000000002E-3</v>
      </c>
      <c r="G112" s="222"/>
      <c r="H112" s="222">
        <f t="shared" si="190"/>
        <v>9.6000000000000002E-2</v>
      </c>
      <c r="I112" s="558">
        <f t="shared" si="191"/>
        <v>21.6</v>
      </c>
      <c r="J112" s="453">
        <f t="shared" si="192"/>
        <v>24.5</v>
      </c>
      <c r="K112" s="453">
        <f t="shared" si="193"/>
        <v>46.1</v>
      </c>
      <c r="L112" s="453"/>
      <c r="M112" s="222">
        <f t="shared" si="194"/>
        <v>0.53145336225596529</v>
      </c>
      <c r="N112" s="177">
        <f t="shared" si="240"/>
        <v>7.9064316702819957</v>
      </c>
      <c r="O112" s="177">
        <f t="shared" si="162"/>
        <v>9.6000000000000002E-2</v>
      </c>
      <c r="P112" s="222">
        <f t="shared" si="195"/>
        <v>0.65886930585683301</v>
      </c>
      <c r="Q112" s="222">
        <f t="shared" si="196"/>
        <v>12</v>
      </c>
      <c r="R112" s="222"/>
      <c r="S112" s="177">
        <f t="shared" si="197"/>
        <v>1848.8264601884014</v>
      </c>
      <c r="T112" s="177">
        <f t="shared" si="198"/>
        <v>12</v>
      </c>
      <c r="U112" s="222">
        <f t="shared" si="199"/>
        <v>1.7605919560806777E-2</v>
      </c>
      <c r="V112" s="222">
        <f t="shared" si="200"/>
        <v>6.846746495869302E-2</v>
      </c>
      <c r="W112" s="222">
        <f t="shared" si="201"/>
        <v>6.0363152779908953E-2</v>
      </c>
      <c r="X112" s="202">
        <f t="shared" si="202"/>
        <v>350</v>
      </c>
      <c r="Y112" s="453">
        <f t="shared" si="203"/>
        <v>350</v>
      </c>
      <c r="AA112" s="222">
        <f t="shared" si="204"/>
        <v>0.39045553145336231</v>
      </c>
      <c r="AB112" s="178">
        <f t="shared" si="205"/>
        <v>1.3387046792686708</v>
      </c>
      <c r="AC112" s="178">
        <f t="shared" si="206"/>
        <v>0.18294662645103313</v>
      </c>
      <c r="AD112" s="178"/>
      <c r="AE112" s="178">
        <f t="shared" si="207"/>
        <v>0.99428571428571422</v>
      </c>
      <c r="AF112" s="562">
        <f t="shared" si="208"/>
        <v>27.744748315497432</v>
      </c>
      <c r="AG112" s="545">
        <f t="shared" si="209"/>
        <v>0.10091999999999998</v>
      </c>
      <c r="AI112" s="178">
        <f t="shared" si="210"/>
        <v>8.1649658092772609E-2</v>
      </c>
      <c r="AJ112" s="178">
        <f t="shared" si="211"/>
        <v>0.28999999999999998</v>
      </c>
      <c r="AK112" s="178">
        <f t="shared" si="212"/>
        <v>1.0158541418945699</v>
      </c>
      <c r="AM112" s="562">
        <f t="shared" si="213"/>
        <v>8</v>
      </c>
      <c r="AN112" s="471">
        <f t="shared" si="214"/>
        <v>27.744748315497432</v>
      </c>
      <c r="AP112" s="471">
        <f t="shared" si="215"/>
        <v>8</v>
      </c>
      <c r="AQ112" s="471">
        <f t="shared" si="216"/>
        <v>27.744748315497432</v>
      </c>
      <c r="AS112" s="5">
        <f t="shared" si="164"/>
        <v>36.04285714285713</v>
      </c>
      <c r="AT112" s="5">
        <f t="shared" si="217"/>
        <v>1.1277777777777775</v>
      </c>
      <c r="AU112" s="5">
        <f t="shared" si="218"/>
        <v>34.91507936507935</v>
      </c>
      <c r="AV112" s="5"/>
      <c r="AW112" s="178">
        <f t="shared" si="219"/>
        <v>3.1289910600255433E-2</v>
      </c>
      <c r="AX112" s="178">
        <f t="shared" si="142"/>
        <v>9.8000000000000004E-2</v>
      </c>
      <c r="AY112" s="178">
        <f t="shared" si="143"/>
        <v>0.28092592592592591</v>
      </c>
      <c r="AZ112" s="178">
        <f t="shared" si="167"/>
        <v>0.34884640738299277</v>
      </c>
      <c r="BD112" s="178">
        <f t="shared" si="168"/>
        <v>2.9616895411692979E-2</v>
      </c>
      <c r="BE112" s="178">
        <f t="shared" si="146"/>
        <v>0.32958260172227644</v>
      </c>
      <c r="BG112" s="545">
        <f t="shared" si="220"/>
        <v>3.0700617283950624E-4</v>
      </c>
      <c r="BH112" s="545">
        <f t="shared" si="221"/>
        <v>2.7818965517241389E-3</v>
      </c>
      <c r="BI112" s="545">
        <f t="shared" si="222"/>
        <v>3.4680935394371787E-4</v>
      </c>
      <c r="BJ112" s="545">
        <f t="shared" si="223"/>
        <v>2.9481708283789149E-3</v>
      </c>
      <c r="BK112">
        <f t="shared" si="224"/>
        <v>6.2640000000000005E-3</v>
      </c>
      <c r="BM112" s="471">
        <f t="shared" si="225"/>
        <v>12.647882906886279</v>
      </c>
      <c r="BN112" s="545">
        <f t="shared" si="226"/>
        <v>2.3999999999999998E-3</v>
      </c>
      <c r="BQ112" s="471">
        <f t="shared" si="227"/>
        <v>2.4</v>
      </c>
      <c r="BR112" s="545">
        <f t="shared" si="228"/>
        <v>8.333024691358027E-5</v>
      </c>
      <c r="BS112" s="545">
        <f t="shared" si="229"/>
        <v>9.7762222222222209E-3</v>
      </c>
      <c r="BT112" s="545">
        <f t="shared" si="230"/>
        <v>9.1815704906948158E-6</v>
      </c>
      <c r="BU112" s="545"/>
      <c r="BV112" s="545">
        <f t="shared" si="231"/>
        <v>5.2500000000000018E-4</v>
      </c>
      <c r="BW112" s="471">
        <f t="shared" si="232"/>
        <v>10.393734039626496</v>
      </c>
      <c r="BX112" s="178">
        <f t="shared" si="233"/>
        <v>2.5441616946512775E-2</v>
      </c>
      <c r="BY112" s="5">
        <f t="shared" si="234"/>
        <v>9.6000000000000002E-2</v>
      </c>
      <c r="BZ112" s="178">
        <f t="shared" si="235"/>
        <v>0.79050330861686269</v>
      </c>
      <c r="CA112" s="5">
        <f t="shared" si="236"/>
        <v>79.050330861686263</v>
      </c>
      <c r="CD112" s="580">
        <f t="shared" si="237"/>
        <v>-50</v>
      </c>
      <c r="CE112">
        <f t="shared" si="238"/>
        <v>-50</v>
      </c>
    </row>
    <row r="113" spans="5:83" x14ac:dyDescent="0.2">
      <c r="E113" s="175">
        <v>3</v>
      </c>
      <c r="F113" s="222">
        <f t="shared" si="239"/>
        <v>1.2E-2</v>
      </c>
      <c r="G113" s="222"/>
      <c r="H113" s="222">
        <f t="shared" si="190"/>
        <v>0.14400000000000002</v>
      </c>
      <c r="I113" s="558">
        <f t="shared" si="191"/>
        <v>21.6</v>
      </c>
      <c r="J113" s="453">
        <f t="shared" si="192"/>
        <v>24.5</v>
      </c>
      <c r="K113" s="453">
        <f t="shared" si="193"/>
        <v>46.1</v>
      </c>
      <c r="L113" s="453"/>
      <c r="M113" s="222">
        <f t="shared" si="194"/>
        <v>0.53145336225596529</v>
      </c>
      <c r="N113" s="177">
        <f t="shared" si="240"/>
        <v>7.9064316702819957</v>
      </c>
      <c r="O113" s="177">
        <f t="shared" si="162"/>
        <v>0.14400000000000002</v>
      </c>
      <c r="P113" s="222">
        <f t="shared" si="195"/>
        <v>0.65886930585683301</v>
      </c>
      <c r="Q113" s="222">
        <f t="shared" si="196"/>
        <v>12</v>
      </c>
      <c r="R113" s="222"/>
      <c r="S113" s="177">
        <f t="shared" si="197"/>
        <v>1228.9521965466768</v>
      </c>
      <c r="T113" s="177">
        <f t="shared" si="198"/>
        <v>12</v>
      </c>
      <c r="U113" s="222">
        <f t="shared" si="199"/>
        <v>2.6408879341210171E-2</v>
      </c>
      <c r="V113" s="222">
        <f t="shared" si="200"/>
        <v>0.10270119743803954</v>
      </c>
      <c r="W113" s="222">
        <f t="shared" si="201"/>
        <v>9.0544729169863433E-2</v>
      </c>
      <c r="X113" s="202">
        <f t="shared" si="202"/>
        <v>350</v>
      </c>
      <c r="Y113" s="453">
        <f t="shared" si="203"/>
        <v>350</v>
      </c>
      <c r="AA113" s="222">
        <f t="shared" si="204"/>
        <v>0.39045553145336231</v>
      </c>
      <c r="AB113" s="178">
        <f t="shared" si="205"/>
        <v>1.3387046792686708</v>
      </c>
      <c r="AC113" s="178">
        <f t="shared" si="206"/>
        <v>0.18294662645103313</v>
      </c>
      <c r="AD113" s="178"/>
      <c r="AE113" s="178">
        <f t="shared" si="207"/>
        <v>0.99428571428571422</v>
      </c>
      <c r="AF113" s="562">
        <f t="shared" si="208"/>
        <v>41.617122473246148</v>
      </c>
      <c r="AG113" s="545">
        <f t="shared" si="209"/>
        <v>0.10091999999999998</v>
      </c>
      <c r="AI113" s="178">
        <f t="shared" si="210"/>
        <v>0.1</v>
      </c>
      <c r="AJ113" s="178">
        <f t="shared" si="211"/>
        <v>0.28999999999999998</v>
      </c>
      <c r="AK113" s="178">
        <f t="shared" si="212"/>
        <v>1.0237812128418549</v>
      </c>
      <c r="AM113" s="562">
        <f t="shared" si="213"/>
        <v>12</v>
      </c>
      <c r="AN113" s="471">
        <f t="shared" si="214"/>
        <v>41.617122473246148</v>
      </c>
      <c r="AP113" s="471">
        <f t="shared" si="215"/>
        <v>12</v>
      </c>
      <c r="AQ113" s="471">
        <f t="shared" si="216"/>
        <v>41.617122473246148</v>
      </c>
      <c r="AS113" s="5">
        <f t="shared" si="164"/>
        <v>24.028571428571421</v>
      </c>
      <c r="AT113" s="5">
        <f t="shared" si="217"/>
        <v>1.1277777777777775</v>
      </c>
      <c r="AU113" s="5">
        <f t="shared" si="218"/>
        <v>22.900793650793645</v>
      </c>
      <c r="AV113" s="5"/>
      <c r="AW113" s="178">
        <f t="shared" si="219"/>
        <v>4.6934865900383149E-2</v>
      </c>
      <c r="AX113" s="178">
        <f t="shared" si="142"/>
        <v>0.14700000000000002</v>
      </c>
      <c r="AY113" s="178">
        <f t="shared" si="143"/>
        <v>0.27638888888888885</v>
      </c>
      <c r="AZ113" s="178">
        <f t="shared" si="167"/>
        <v>0.53185929648241226</v>
      </c>
      <c r="BD113" s="178">
        <f t="shared" si="168"/>
        <v>3.627314076201206E-2</v>
      </c>
      <c r="BE113" s="178">
        <f t="shared" si="146"/>
        <v>0.32691033995634083</v>
      </c>
      <c r="BG113" s="545">
        <f t="shared" si="220"/>
        <v>4.6050925925925925E-4</v>
      </c>
      <c r="BH113" s="545">
        <f t="shared" si="221"/>
        <v>4.1728448275862081E-3</v>
      </c>
      <c r="BI113" s="545">
        <f t="shared" si="222"/>
        <v>5.2021403091557681E-4</v>
      </c>
      <c r="BJ113" s="545">
        <f t="shared" si="223"/>
        <v>4.4222562425683719E-3</v>
      </c>
      <c r="BK113">
        <f t="shared" si="224"/>
        <v>6.2640000000000005E-3</v>
      </c>
      <c r="BM113" s="471">
        <f t="shared" si="225"/>
        <v>15.839824360329414</v>
      </c>
      <c r="BN113" s="545">
        <f t="shared" si="226"/>
        <v>3.5999999999999999E-3</v>
      </c>
      <c r="BQ113" s="471">
        <f t="shared" si="227"/>
        <v>3.6</v>
      </c>
      <c r="BR113" s="545">
        <f t="shared" si="228"/>
        <v>1.2499537037037036E-4</v>
      </c>
      <c r="BS113" s="545">
        <f t="shared" si="229"/>
        <v>9.6183333333333294E-3</v>
      </c>
      <c r="BT113" s="545">
        <f t="shared" si="230"/>
        <v>2.5301433082047374E-5</v>
      </c>
      <c r="BU113" s="545"/>
      <c r="BV113" s="545">
        <f t="shared" si="231"/>
        <v>7.8750000000000022E-4</v>
      </c>
      <c r="BW113" s="471">
        <f t="shared" si="232"/>
        <v>10.556130136785749</v>
      </c>
      <c r="BX113" s="178">
        <f t="shared" si="233"/>
        <v>2.999595449711516E-2</v>
      </c>
      <c r="BY113" s="5">
        <f t="shared" si="234"/>
        <v>0.14400000000000002</v>
      </c>
      <c r="BZ113" s="178">
        <f t="shared" si="235"/>
        <v>0.82760544873695607</v>
      </c>
      <c r="CA113" s="5">
        <f t="shared" si="236"/>
        <v>82.760544873695608</v>
      </c>
      <c r="CD113" s="580">
        <f t="shared" si="237"/>
        <v>-50</v>
      </c>
      <c r="CE113">
        <f t="shared" si="238"/>
        <v>-50</v>
      </c>
    </row>
    <row r="114" spans="5:83" x14ac:dyDescent="0.2">
      <c r="E114" s="175">
        <v>4</v>
      </c>
      <c r="F114" s="222">
        <f t="shared" si="239"/>
        <v>1.6E-2</v>
      </c>
      <c r="G114" s="222"/>
      <c r="H114" s="222">
        <f t="shared" si="190"/>
        <v>0.192</v>
      </c>
      <c r="I114" s="558">
        <f t="shared" si="191"/>
        <v>21.6</v>
      </c>
      <c r="J114" s="453">
        <f t="shared" si="192"/>
        <v>24.5</v>
      </c>
      <c r="K114" s="453">
        <f t="shared" si="193"/>
        <v>46.1</v>
      </c>
      <c r="L114" s="453"/>
      <c r="M114" s="222">
        <f t="shared" si="194"/>
        <v>0.53145336225596529</v>
      </c>
      <c r="N114" s="177">
        <f t="shared" si="240"/>
        <v>7.9064316702819957</v>
      </c>
      <c r="O114" s="177">
        <f t="shared" si="162"/>
        <v>0.192</v>
      </c>
      <c r="P114" s="222">
        <f t="shared" si="195"/>
        <v>0.65886930585683301</v>
      </c>
      <c r="Q114" s="222">
        <f t="shared" si="196"/>
        <v>12</v>
      </c>
      <c r="R114" s="222"/>
      <c r="S114" s="177">
        <f t="shared" si="197"/>
        <v>919.01543712772286</v>
      </c>
      <c r="T114" s="177">
        <f t="shared" si="198"/>
        <v>12</v>
      </c>
      <c r="U114" s="222">
        <f t="shared" si="199"/>
        <v>3.5211839121613554E-2</v>
      </c>
      <c r="V114" s="222">
        <f t="shared" si="200"/>
        <v>0.13693492991738604</v>
      </c>
      <c r="W114" s="222">
        <f t="shared" si="201"/>
        <v>0.12072630555981791</v>
      </c>
      <c r="X114" s="202">
        <f t="shared" si="202"/>
        <v>350</v>
      </c>
      <c r="Y114" s="453">
        <f t="shared" si="203"/>
        <v>350</v>
      </c>
      <c r="AA114" s="222">
        <f t="shared" si="204"/>
        <v>0.39045553145336231</v>
      </c>
      <c r="AB114" s="178">
        <f t="shared" si="205"/>
        <v>1.3387046792686708</v>
      </c>
      <c r="AC114" s="178">
        <f t="shared" si="206"/>
        <v>0.18294662645103313</v>
      </c>
      <c r="AD114" s="178"/>
      <c r="AE114" s="178">
        <f t="shared" si="207"/>
        <v>0.99428571428571422</v>
      </c>
      <c r="AF114" s="562">
        <f t="shared" si="208"/>
        <v>55.489496630994864</v>
      </c>
      <c r="AG114" s="545">
        <f t="shared" si="209"/>
        <v>0.10091999999999998</v>
      </c>
      <c r="AI114" s="178">
        <f t="shared" si="210"/>
        <v>0.11547005383792516</v>
      </c>
      <c r="AJ114" s="178">
        <f t="shared" si="211"/>
        <v>0.28999999999999998</v>
      </c>
      <c r="AK114" s="178">
        <f t="shared" si="212"/>
        <v>1.0317082837891398</v>
      </c>
      <c r="AM114" s="562">
        <f t="shared" si="213"/>
        <v>16</v>
      </c>
      <c r="AN114" s="471">
        <f t="shared" si="214"/>
        <v>55.489496630994864</v>
      </c>
      <c r="AP114" s="471">
        <f t="shared" si="215"/>
        <v>16</v>
      </c>
      <c r="AQ114" s="471">
        <f t="shared" si="216"/>
        <v>55.489496630994864</v>
      </c>
      <c r="AS114" s="5">
        <f t="shared" si="164"/>
        <v>18.021428571428565</v>
      </c>
      <c r="AT114" s="5">
        <f t="shared" si="217"/>
        <v>1.1277777777777775</v>
      </c>
      <c r="AU114" s="5">
        <f t="shared" si="218"/>
        <v>16.893650793650789</v>
      </c>
      <c r="AV114" s="5"/>
      <c r="AW114" s="178">
        <f t="shared" si="219"/>
        <v>6.2579821200510866E-2</v>
      </c>
      <c r="AX114" s="178">
        <f t="shared" si="142"/>
        <v>0.19600000000000001</v>
      </c>
      <c r="AY114" s="178">
        <f t="shared" si="143"/>
        <v>0.27185185185185184</v>
      </c>
      <c r="AZ114" s="178">
        <f t="shared" si="167"/>
        <v>0.72098092643051781</v>
      </c>
      <c r="BD114" s="178">
        <f t="shared" si="168"/>
        <v>4.1884615166601705E-2</v>
      </c>
      <c r="BE114" s="178">
        <f t="shared" si="146"/>
        <v>0.32421605355490346</v>
      </c>
      <c r="BG114" s="545">
        <f t="shared" si="220"/>
        <v>6.1401234567901248E-4</v>
      </c>
      <c r="BH114" s="545">
        <f t="shared" si="221"/>
        <v>5.5637931034482778E-3</v>
      </c>
      <c r="BI114" s="545">
        <f t="shared" si="222"/>
        <v>6.9361870788743575E-4</v>
      </c>
      <c r="BJ114" s="545">
        <f t="shared" si="223"/>
        <v>5.8963416567578298E-3</v>
      </c>
      <c r="BK114">
        <f t="shared" si="224"/>
        <v>6.2640000000000005E-3</v>
      </c>
      <c r="BM114" s="471">
        <f t="shared" si="225"/>
        <v>19.031765813772555</v>
      </c>
      <c r="BN114" s="545">
        <f t="shared" si="226"/>
        <v>4.7999999999999996E-3</v>
      </c>
      <c r="BQ114" s="471">
        <f t="shared" si="227"/>
        <v>4.8</v>
      </c>
      <c r="BR114" s="545">
        <f t="shared" si="228"/>
        <v>1.6666049382716054E-4</v>
      </c>
      <c r="BS114" s="545">
        <f t="shared" si="229"/>
        <v>9.4604444444444415E-3</v>
      </c>
      <c r="BT114" s="545">
        <f t="shared" si="230"/>
        <v>5.1938806047300876E-5</v>
      </c>
      <c r="BU114" s="545"/>
      <c r="BV114" s="545">
        <f t="shared" si="231"/>
        <v>1.0500000000000004E-3</v>
      </c>
      <c r="BW114" s="471">
        <f t="shared" si="232"/>
        <v>10.729043744318904</v>
      </c>
      <c r="BX114" s="178">
        <f t="shared" si="233"/>
        <v>3.456080955809146E-2</v>
      </c>
      <c r="BY114" s="5">
        <f t="shared" si="234"/>
        <v>0.192</v>
      </c>
      <c r="BZ114" s="178">
        <f t="shared" si="235"/>
        <v>0.8474545989418798</v>
      </c>
      <c r="CA114" s="5">
        <f t="shared" si="236"/>
        <v>84.745459894187974</v>
      </c>
      <c r="CD114" s="580">
        <f t="shared" si="237"/>
        <v>-50</v>
      </c>
      <c r="CE114">
        <f t="shared" si="238"/>
        <v>-50</v>
      </c>
    </row>
    <row r="115" spans="5:83" x14ac:dyDescent="0.2">
      <c r="E115" s="175">
        <v>5</v>
      </c>
      <c r="F115" s="222">
        <f t="shared" si="239"/>
        <v>2.0000000000000004E-2</v>
      </c>
      <c r="G115" s="222"/>
      <c r="H115" s="222">
        <f t="shared" si="190"/>
        <v>0.24000000000000005</v>
      </c>
      <c r="I115" s="558">
        <f t="shared" si="191"/>
        <v>21.6</v>
      </c>
      <c r="J115" s="453">
        <f t="shared" si="192"/>
        <v>24.5</v>
      </c>
      <c r="K115" s="453">
        <f t="shared" si="193"/>
        <v>46.1</v>
      </c>
      <c r="L115" s="453"/>
      <c r="M115" s="222">
        <f t="shared" si="194"/>
        <v>0.53145336225596529</v>
      </c>
      <c r="N115" s="177">
        <f t="shared" si="240"/>
        <v>7.9064316702819957</v>
      </c>
      <c r="O115" s="177">
        <f t="shared" si="162"/>
        <v>0.24000000000000005</v>
      </c>
      <c r="P115" s="222">
        <f t="shared" si="195"/>
        <v>0.65886930585683301</v>
      </c>
      <c r="Q115" s="222">
        <f t="shared" si="196"/>
        <v>12</v>
      </c>
      <c r="R115" s="222"/>
      <c r="S115" s="177">
        <f t="shared" si="197"/>
        <v>733.05368196705717</v>
      </c>
      <c r="T115" s="177">
        <f t="shared" si="198"/>
        <v>12</v>
      </c>
      <c r="U115" s="222">
        <f t="shared" si="199"/>
        <v>4.4014798902016955E-2</v>
      </c>
      <c r="V115" s="222">
        <f t="shared" si="200"/>
        <v>0.17116866239673259</v>
      </c>
      <c r="W115" s="222">
        <f t="shared" si="201"/>
        <v>0.15090788194977242</v>
      </c>
      <c r="X115" s="202">
        <f t="shared" si="202"/>
        <v>350</v>
      </c>
      <c r="Y115" s="453">
        <f t="shared" si="203"/>
        <v>350</v>
      </c>
      <c r="AA115" s="222">
        <f t="shared" si="204"/>
        <v>0.39045553145336231</v>
      </c>
      <c r="AB115" s="178">
        <f t="shared" si="205"/>
        <v>1.3387046792686708</v>
      </c>
      <c r="AC115" s="178">
        <f t="shared" si="206"/>
        <v>0.18294662645103313</v>
      </c>
      <c r="AD115" s="178"/>
      <c r="AE115" s="178">
        <f t="shared" si="207"/>
        <v>0.99428571428571422</v>
      </c>
      <c r="AF115" s="562">
        <f t="shared" si="208"/>
        <v>69.361870788743587</v>
      </c>
      <c r="AG115" s="545">
        <f t="shared" si="209"/>
        <v>0.10091999999999998</v>
      </c>
      <c r="AI115" s="178">
        <f t="shared" si="210"/>
        <v>0.12909944487358058</v>
      </c>
      <c r="AJ115" s="178">
        <f t="shared" si="211"/>
        <v>0.28999999999999998</v>
      </c>
      <c r="AK115" s="178">
        <f t="shared" si="212"/>
        <v>1.039635354736425</v>
      </c>
      <c r="AM115" s="562">
        <f t="shared" si="213"/>
        <v>20.000000000000004</v>
      </c>
      <c r="AN115" s="471">
        <f t="shared" si="214"/>
        <v>69.361870788743587</v>
      </c>
      <c r="AP115" s="471">
        <f t="shared" si="215"/>
        <v>20.000000000000004</v>
      </c>
      <c r="AQ115" s="471">
        <f t="shared" si="216"/>
        <v>69.361870788743587</v>
      </c>
      <c r="AS115" s="5">
        <f t="shared" si="164"/>
        <v>14.417142857142851</v>
      </c>
      <c r="AT115" s="5">
        <f t="shared" si="217"/>
        <v>1.1277777777777775</v>
      </c>
      <c r="AU115" s="5">
        <f t="shared" si="218"/>
        <v>13.289365079365073</v>
      </c>
      <c r="AV115" s="5"/>
      <c r="AW115" s="178">
        <f t="shared" si="219"/>
        <v>7.8224776500638582E-2</v>
      </c>
      <c r="AX115" s="178">
        <f t="shared" si="142"/>
        <v>0.24500000000000005</v>
      </c>
      <c r="AY115" s="178">
        <f t="shared" si="143"/>
        <v>0.26731481481481478</v>
      </c>
      <c r="AZ115" s="178">
        <f t="shared" si="167"/>
        <v>0.91652234153100132</v>
      </c>
      <c r="BD115" s="178">
        <f t="shared" si="168"/>
        <v>4.6828423361970038E-2</v>
      </c>
      <c r="BE115" s="178">
        <f t="shared" si="146"/>
        <v>0.32149918879378481</v>
      </c>
      <c r="BG115" s="545">
        <f t="shared" si="220"/>
        <v>7.6751543209876538E-4</v>
      </c>
      <c r="BH115" s="545">
        <f t="shared" si="221"/>
        <v>6.9547413793103465E-3</v>
      </c>
      <c r="BI115" s="545">
        <f t="shared" si="222"/>
        <v>8.6702338485929479E-4</v>
      </c>
      <c r="BJ115" s="545">
        <f t="shared" si="223"/>
        <v>7.3704270709472877E-3</v>
      </c>
      <c r="BK115">
        <f t="shared" si="224"/>
        <v>6.2640000000000005E-3</v>
      </c>
      <c r="BM115" s="471">
        <f t="shared" si="225"/>
        <v>22.223707267215698</v>
      </c>
      <c r="BN115" s="545">
        <f t="shared" si="226"/>
        <v>6.000000000000001E-3</v>
      </c>
      <c r="BQ115" s="471">
        <f t="shared" si="227"/>
        <v>6.0000000000000009</v>
      </c>
      <c r="BR115" s="545">
        <f t="shared" si="228"/>
        <v>2.0832561728395063E-4</v>
      </c>
      <c r="BS115" s="545">
        <f t="shared" si="229"/>
        <v>9.3025555555555518E-3</v>
      </c>
      <c r="BT115" s="545">
        <f t="shared" si="230"/>
        <v>9.0733360149954551E-5</v>
      </c>
      <c r="BU115" s="545"/>
      <c r="BV115" s="545">
        <f t="shared" si="231"/>
        <v>1.3125000000000005E-3</v>
      </c>
      <c r="BW115" s="471">
        <f t="shared" si="232"/>
        <v>10.914114532989457</v>
      </c>
      <c r="BX115" s="178">
        <f t="shared" si="233"/>
        <v>3.9137821800205155E-2</v>
      </c>
      <c r="BY115" s="5">
        <f t="shared" si="234"/>
        <v>0.24000000000000005</v>
      </c>
      <c r="BZ115" s="178">
        <f t="shared" si="235"/>
        <v>0.85979033028272922</v>
      </c>
      <c r="CA115" s="5">
        <f t="shared" si="236"/>
        <v>85.979033028272923</v>
      </c>
      <c r="CD115" s="580">
        <f t="shared" si="237"/>
        <v>-50</v>
      </c>
      <c r="CE115">
        <f t="shared" si="238"/>
        <v>-50</v>
      </c>
    </row>
    <row r="116" spans="5:83" x14ac:dyDescent="0.2">
      <c r="E116" s="175">
        <v>6</v>
      </c>
      <c r="F116" s="222">
        <f t="shared" si="239"/>
        <v>2.4E-2</v>
      </c>
      <c r="G116" s="222"/>
      <c r="H116" s="222">
        <f t="shared" si="190"/>
        <v>0.28800000000000003</v>
      </c>
      <c r="I116" s="558">
        <f t="shared" si="191"/>
        <v>21.6</v>
      </c>
      <c r="J116" s="453">
        <f t="shared" si="192"/>
        <v>24.5</v>
      </c>
      <c r="K116" s="453">
        <f t="shared" si="193"/>
        <v>46.1</v>
      </c>
      <c r="L116" s="453"/>
      <c r="M116" s="222">
        <f t="shared" si="194"/>
        <v>0.53145336225596529</v>
      </c>
      <c r="N116" s="177">
        <f t="shared" si="240"/>
        <v>7.9064316702819957</v>
      </c>
      <c r="O116" s="177">
        <f t="shared" si="162"/>
        <v>0.28800000000000003</v>
      </c>
      <c r="P116" s="222">
        <f t="shared" si="195"/>
        <v>0.65886930585683301</v>
      </c>
      <c r="Q116" s="222">
        <f t="shared" si="196"/>
        <v>12</v>
      </c>
      <c r="R116" s="222"/>
      <c r="S116" s="177">
        <f t="shared" si="197"/>
        <v>609.07943110058727</v>
      </c>
      <c r="T116" s="177">
        <f t="shared" si="198"/>
        <v>12</v>
      </c>
      <c r="U116" s="222">
        <f t="shared" si="199"/>
        <v>5.2817758682420342E-2</v>
      </c>
      <c r="V116" s="222">
        <f t="shared" si="200"/>
        <v>0.20540239487607909</v>
      </c>
      <c r="W116" s="222">
        <f t="shared" si="201"/>
        <v>0.18108945833972687</v>
      </c>
      <c r="X116" s="202">
        <f t="shared" si="202"/>
        <v>350</v>
      </c>
      <c r="Y116" s="453">
        <f t="shared" si="203"/>
        <v>350</v>
      </c>
      <c r="AA116" s="222">
        <f t="shared" si="204"/>
        <v>0.39045553145336231</v>
      </c>
      <c r="AB116" s="178">
        <f t="shared" si="205"/>
        <v>1.3387046792686708</v>
      </c>
      <c r="AC116" s="178">
        <f t="shared" si="206"/>
        <v>0.18294662645103313</v>
      </c>
      <c r="AD116" s="178"/>
      <c r="AE116" s="178">
        <f t="shared" si="207"/>
        <v>0.99428571428571422</v>
      </c>
      <c r="AF116" s="562">
        <f t="shared" si="208"/>
        <v>83.234244946492296</v>
      </c>
      <c r="AG116" s="545">
        <f t="shared" si="209"/>
        <v>0.10091999999999998</v>
      </c>
      <c r="AI116" s="178">
        <f t="shared" si="210"/>
        <v>0.1414213562373095</v>
      </c>
      <c r="AJ116" s="178">
        <f t="shared" si="211"/>
        <v>0.28999999999999998</v>
      </c>
      <c r="AK116" s="178">
        <f t="shared" si="212"/>
        <v>1.0475624256837099</v>
      </c>
      <c r="AM116" s="562">
        <f t="shared" si="213"/>
        <v>24</v>
      </c>
      <c r="AN116" s="471">
        <f t="shared" si="214"/>
        <v>83.234244946492296</v>
      </c>
      <c r="AP116" s="471">
        <f t="shared" si="215"/>
        <v>24</v>
      </c>
      <c r="AQ116" s="471">
        <f t="shared" si="216"/>
        <v>83.234244946492296</v>
      </c>
      <c r="AS116" s="5">
        <f t="shared" si="164"/>
        <v>12.014285714285711</v>
      </c>
      <c r="AT116" s="5">
        <f t="shared" si="217"/>
        <v>1.1277777777777775</v>
      </c>
      <c r="AU116" s="5">
        <f t="shared" si="218"/>
        <v>10.886507936507932</v>
      </c>
      <c r="AV116" s="5"/>
      <c r="AW116" s="178">
        <f t="shared" si="219"/>
        <v>9.3869731800766298E-2</v>
      </c>
      <c r="AX116" s="178">
        <f t="shared" si="142"/>
        <v>0.29400000000000004</v>
      </c>
      <c r="AY116" s="178">
        <f t="shared" si="143"/>
        <v>0.26277777777777778</v>
      </c>
      <c r="AZ116" s="178">
        <f t="shared" si="167"/>
        <v>1.118816067653277</v>
      </c>
      <c r="BD116" s="178">
        <f t="shared" si="168"/>
        <v>5.1297967615505792E-2</v>
      </c>
      <c r="BE116" s="178">
        <f t="shared" si="146"/>
        <v>0.31875916835035095</v>
      </c>
      <c r="BG116" s="545">
        <f t="shared" si="220"/>
        <v>9.2101851851851839E-4</v>
      </c>
      <c r="BH116" s="545">
        <f t="shared" si="221"/>
        <v>8.3456896551724162E-3</v>
      </c>
      <c r="BI116" s="545">
        <f t="shared" si="222"/>
        <v>1.0404280618311536E-3</v>
      </c>
      <c r="BJ116" s="545">
        <f t="shared" si="223"/>
        <v>8.8445124851367438E-3</v>
      </c>
      <c r="BK116">
        <f t="shared" si="224"/>
        <v>6.2640000000000005E-3</v>
      </c>
      <c r="BM116" s="471">
        <f t="shared" si="225"/>
        <v>25.41564872065883</v>
      </c>
      <c r="BN116" s="545">
        <f t="shared" si="226"/>
        <v>7.1999999999999998E-3</v>
      </c>
      <c r="BQ116" s="471">
        <f t="shared" si="227"/>
        <v>7.2</v>
      </c>
      <c r="BR116" s="545">
        <f t="shared" si="228"/>
        <v>2.4999074074074073E-4</v>
      </c>
      <c r="BS116" s="545">
        <f t="shared" si="229"/>
        <v>9.1446666666666638E-3</v>
      </c>
      <c r="BT116" s="545">
        <f t="shared" si="230"/>
        <v>1.4312651924842644E-4</v>
      </c>
      <c r="BU116" s="545"/>
      <c r="BV116" s="545">
        <f t="shared" si="231"/>
        <v>1.5750000000000004E-3</v>
      </c>
      <c r="BW116" s="471">
        <f t="shared" si="232"/>
        <v>11.11278392665583</v>
      </c>
      <c r="BX116" s="178">
        <f t="shared" si="233"/>
        <v>4.3728432647314658E-2</v>
      </c>
      <c r="BY116" s="5">
        <f t="shared" si="234"/>
        <v>0.28800000000000003</v>
      </c>
      <c r="BZ116" s="178">
        <f t="shared" si="235"/>
        <v>0.86818002816838558</v>
      </c>
      <c r="CA116" s="5">
        <f t="shared" si="236"/>
        <v>86.818002816838558</v>
      </c>
      <c r="CD116" s="580">
        <f t="shared" si="237"/>
        <v>-50</v>
      </c>
      <c r="CE116">
        <f t="shared" si="238"/>
        <v>-50</v>
      </c>
    </row>
    <row r="117" spans="5:83" x14ac:dyDescent="0.2">
      <c r="E117" s="175">
        <v>7</v>
      </c>
      <c r="F117" s="222">
        <f t="shared" si="239"/>
        <v>2.8000000000000004E-2</v>
      </c>
      <c r="G117" s="222"/>
      <c r="H117" s="222">
        <f t="shared" si="190"/>
        <v>0.33600000000000008</v>
      </c>
      <c r="I117" s="558">
        <f t="shared" si="191"/>
        <v>21.6</v>
      </c>
      <c r="J117" s="453">
        <f t="shared" si="192"/>
        <v>24.5</v>
      </c>
      <c r="K117" s="453">
        <f t="shared" si="193"/>
        <v>46.1</v>
      </c>
      <c r="L117" s="453"/>
      <c r="M117" s="222">
        <f t="shared" si="194"/>
        <v>0.53145336225596529</v>
      </c>
      <c r="N117" s="177">
        <f t="shared" si="240"/>
        <v>7.9064316702819957</v>
      </c>
      <c r="O117" s="177">
        <f t="shared" si="162"/>
        <v>0.33600000000000008</v>
      </c>
      <c r="P117" s="222">
        <f t="shared" si="195"/>
        <v>0.65886930585683301</v>
      </c>
      <c r="Q117" s="222">
        <f t="shared" si="196"/>
        <v>12</v>
      </c>
      <c r="R117" s="222"/>
      <c r="S117" s="177">
        <f t="shared" si="197"/>
        <v>520.52661313604199</v>
      </c>
      <c r="T117" s="177">
        <f t="shared" si="198"/>
        <v>12</v>
      </c>
      <c r="U117" s="222">
        <f t="shared" si="199"/>
        <v>6.1620718462823736E-2</v>
      </c>
      <c r="V117" s="222">
        <f t="shared" si="200"/>
        <v>0.23963612735542564</v>
      </c>
      <c r="W117" s="222">
        <f t="shared" si="201"/>
        <v>0.21127103472968137</v>
      </c>
      <c r="X117" s="202">
        <f t="shared" si="202"/>
        <v>350</v>
      </c>
      <c r="Y117" s="453">
        <f t="shared" si="203"/>
        <v>350</v>
      </c>
      <c r="AA117" s="222">
        <f t="shared" si="204"/>
        <v>0.39045553145336231</v>
      </c>
      <c r="AB117" s="178">
        <f t="shared" si="205"/>
        <v>1.3387046792686708</v>
      </c>
      <c r="AC117" s="178">
        <f t="shared" si="206"/>
        <v>0.18294662645103313</v>
      </c>
      <c r="AD117" s="178"/>
      <c r="AE117" s="178">
        <f t="shared" si="207"/>
        <v>0.99428571428571422</v>
      </c>
      <c r="AF117" s="562">
        <f t="shared" si="208"/>
        <v>97.10661910424102</v>
      </c>
      <c r="AG117" s="545">
        <f t="shared" si="209"/>
        <v>0.10091999999999998</v>
      </c>
      <c r="AI117" s="178">
        <f t="shared" si="210"/>
        <v>0.15275252316519469</v>
      </c>
      <c r="AJ117" s="178">
        <f t="shared" si="211"/>
        <v>0.28999999999999998</v>
      </c>
      <c r="AK117" s="178">
        <f t="shared" si="212"/>
        <v>1.0554894966309949</v>
      </c>
      <c r="AM117" s="562">
        <f t="shared" si="213"/>
        <v>28.000000000000004</v>
      </c>
      <c r="AN117" s="471">
        <f t="shared" si="214"/>
        <v>97.10661910424102</v>
      </c>
      <c r="AP117" s="471">
        <f t="shared" si="215"/>
        <v>28.000000000000004</v>
      </c>
      <c r="AQ117" s="471">
        <f t="shared" si="216"/>
        <v>97.10661910424102</v>
      </c>
      <c r="AS117" s="5">
        <f t="shared" si="164"/>
        <v>10.297959183673466</v>
      </c>
      <c r="AT117" s="5">
        <f t="shared" si="217"/>
        <v>1.1277777777777775</v>
      </c>
      <c r="AU117" s="5">
        <f t="shared" si="218"/>
        <v>9.1701814058956881</v>
      </c>
      <c r="AV117" s="5"/>
      <c r="AW117" s="178">
        <f t="shared" si="219"/>
        <v>0.109514687100894</v>
      </c>
      <c r="AX117" s="178">
        <f t="shared" si="142"/>
        <v>0.34300000000000008</v>
      </c>
      <c r="AY117" s="178">
        <f t="shared" si="143"/>
        <v>0.25824074074074072</v>
      </c>
      <c r="AZ117" s="178">
        <f t="shared" si="167"/>
        <v>1.3282179992828975</v>
      </c>
      <c r="BD117" s="178">
        <f t="shared" si="168"/>
        <v>5.540813774523614E-2</v>
      </c>
      <c r="BE117" s="178">
        <f t="shared" si="146"/>
        <v>0.31599538987104397</v>
      </c>
      <c r="BG117" s="545">
        <f t="shared" si="220"/>
        <v>1.0745216049382715E-3</v>
      </c>
      <c r="BH117" s="545">
        <f t="shared" si="221"/>
        <v>9.736637931034485E-3</v>
      </c>
      <c r="BI117" s="545">
        <f t="shared" si="222"/>
        <v>1.2138327388030127E-3</v>
      </c>
      <c r="BJ117" s="545">
        <f t="shared" si="223"/>
        <v>1.0318597899326203E-2</v>
      </c>
      <c r="BK117">
        <f t="shared" si="224"/>
        <v>6.2640000000000005E-3</v>
      </c>
      <c r="BM117" s="471">
        <f t="shared" si="225"/>
        <v>28.607590174101972</v>
      </c>
      <c r="BN117" s="545">
        <f t="shared" si="226"/>
        <v>8.4000000000000012E-3</v>
      </c>
      <c r="BQ117" s="471">
        <f t="shared" si="227"/>
        <v>8.4</v>
      </c>
      <c r="BR117" s="545">
        <f t="shared" si="228"/>
        <v>2.916558641975309E-4</v>
      </c>
      <c r="BS117" s="545">
        <f t="shared" si="229"/>
        <v>8.9867777777777776E-3</v>
      </c>
      <c r="BT117" s="545">
        <f t="shared" si="230"/>
        <v>2.1042003267325015E-4</v>
      </c>
      <c r="BU117" s="545"/>
      <c r="BV117" s="545">
        <f t="shared" si="231"/>
        <v>1.8375000000000006E-3</v>
      </c>
      <c r="BW117" s="471">
        <f t="shared" si="232"/>
        <v>11.32635367464856</v>
      </c>
      <c r="BX117" s="178">
        <f t="shared" si="233"/>
        <v>4.8333943848750532E-2</v>
      </c>
      <c r="BY117" s="5">
        <f t="shared" si="234"/>
        <v>0.33600000000000008</v>
      </c>
      <c r="BZ117" s="178">
        <f t="shared" si="235"/>
        <v>0.87423972141328288</v>
      </c>
      <c r="CA117" s="5">
        <f t="shared" si="236"/>
        <v>87.423972141328292</v>
      </c>
      <c r="CD117" s="580">
        <f t="shared" si="237"/>
        <v>-50</v>
      </c>
      <c r="CE117">
        <f t="shared" si="238"/>
        <v>-50</v>
      </c>
    </row>
    <row r="118" spans="5:83" x14ac:dyDescent="0.2">
      <c r="E118" s="175">
        <v>8</v>
      </c>
      <c r="F118" s="222">
        <f t="shared" si="239"/>
        <v>3.2000000000000001E-2</v>
      </c>
      <c r="G118" s="222"/>
      <c r="H118" s="222">
        <f t="shared" si="190"/>
        <v>0.38400000000000001</v>
      </c>
      <c r="I118" s="558">
        <f t="shared" si="191"/>
        <v>21.6</v>
      </c>
      <c r="J118" s="453">
        <f t="shared" si="192"/>
        <v>24.5</v>
      </c>
      <c r="K118" s="453">
        <f t="shared" si="193"/>
        <v>46.1</v>
      </c>
      <c r="L118" s="453"/>
      <c r="M118" s="222">
        <f t="shared" si="194"/>
        <v>0.53145336225596529</v>
      </c>
      <c r="N118" s="177">
        <f t="shared" si="240"/>
        <v>7.9064316702819957</v>
      </c>
      <c r="O118" s="177">
        <f t="shared" si="162"/>
        <v>0.38400000000000001</v>
      </c>
      <c r="P118" s="222">
        <f t="shared" si="195"/>
        <v>0.65886930585683301</v>
      </c>
      <c r="Q118" s="222">
        <f t="shared" si="196"/>
        <v>12</v>
      </c>
      <c r="R118" s="222"/>
      <c r="S118" s="177">
        <f t="shared" si="197"/>
        <v>454.11219239583573</v>
      </c>
      <c r="T118" s="177">
        <f t="shared" si="198"/>
        <v>12</v>
      </c>
      <c r="U118" s="222">
        <f t="shared" si="199"/>
        <v>7.0423678243227109E-2</v>
      </c>
      <c r="V118" s="222">
        <f t="shared" si="200"/>
        <v>0.27386985983477208</v>
      </c>
      <c r="W118" s="222">
        <f t="shared" si="201"/>
        <v>0.24145261111963581</v>
      </c>
      <c r="X118" s="202">
        <f t="shared" si="202"/>
        <v>350</v>
      </c>
      <c r="Y118" s="453">
        <f t="shared" si="203"/>
        <v>350</v>
      </c>
      <c r="AA118" s="222">
        <f t="shared" si="204"/>
        <v>0.39045553145336231</v>
      </c>
      <c r="AB118" s="178">
        <f t="shared" si="205"/>
        <v>1.3387046792686708</v>
      </c>
      <c r="AC118" s="178">
        <f t="shared" si="206"/>
        <v>0.18294662645103313</v>
      </c>
      <c r="AD118" s="178"/>
      <c r="AE118" s="178">
        <f t="shared" si="207"/>
        <v>0.99428571428571422</v>
      </c>
      <c r="AF118" s="562">
        <f t="shared" si="208"/>
        <v>110.97899326198973</v>
      </c>
      <c r="AG118" s="545">
        <f t="shared" si="209"/>
        <v>0.10091999999999998</v>
      </c>
      <c r="AI118" s="178">
        <f t="shared" si="210"/>
        <v>0.16329931618554522</v>
      </c>
      <c r="AJ118" s="178">
        <f t="shared" si="211"/>
        <v>0.28999999999999998</v>
      </c>
      <c r="AK118" s="178">
        <f t="shared" si="212"/>
        <v>1.0634165675782798</v>
      </c>
      <c r="AM118" s="562">
        <f t="shared" si="213"/>
        <v>32</v>
      </c>
      <c r="AN118" s="471">
        <f t="shared" si="214"/>
        <v>110.97899326198973</v>
      </c>
      <c r="AP118" s="471">
        <f t="shared" si="215"/>
        <v>32</v>
      </c>
      <c r="AQ118" s="471">
        <f t="shared" si="216"/>
        <v>110.97899326198973</v>
      </c>
      <c r="AS118" s="5">
        <f t="shared" si="164"/>
        <v>9.0107142857142826</v>
      </c>
      <c r="AT118" s="5">
        <f t="shared" si="217"/>
        <v>1.1277777777777775</v>
      </c>
      <c r="AU118" s="5">
        <f t="shared" si="218"/>
        <v>7.8829365079365052</v>
      </c>
      <c r="AV118" s="5"/>
      <c r="AW118" s="178">
        <f t="shared" si="219"/>
        <v>0.12515964240102173</v>
      </c>
      <c r="AX118" s="178">
        <f t="shared" si="142"/>
        <v>0.39200000000000002</v>
      </c>
      <c r="AY118" s="178">
        <f t="shared" si="143"/>
        <v>0.25370370370370365</v>
      </c>
      <c r="AZ118" s="178">
        <f t="shared" si="167"/>
        <v>1.5451094890510952</v>
      </c>
      <c r="BD118" s="178">
        <f t="shared" si="168"/>
        <v>5.9233790823385958E-2</v>
      </c>
      <c r="BE118" s="178">
        <f t="shared" si="146"/>
        <v>0.31320722442513799</v>
      </c>
      <c r="BG118" s="545">
        <f t="shared" si="220"/>
        <v>1.228024691358025E-3</v>
      </c>
      <c r="BH118" s="545">
        <f t="shared" si="221"/>
        <v>1.1127586206896556E-2</v>
      </c>
      <c r="BI118" s="545">
        <f t="shared" si="222"/>
        <v>1.3872374157748715E-3</v>
      </c>
      <c r="BJ118" s="545">
        <f t="shared" si="223"/>
        <v>1.179268331351566E-2</v>
      </c>
      <c r="BK118">
        <f t="shared" si="224"/>
        <v>6.2640000000000005E-3</v>
      </c>
      <c r="BM118" s="471">
        <f t="shared" si="225"/>
        <v>31.799531627545111</v>
      </c>
      <c r="BN118" s="545">
        <f t="shared" si="226"/>
        <v>9.5999999999999992E-3</v>
      </c>
      <c r="BQ118" s="471">
        <f t="shared" si="227"/>
        <v>9.6</v>
      </c>
      <c r="BR118" s="545">
        <f t="shared" si="228"/>
        <v>3.3332098765432108E-4</v>
      </c>
      <c r="BS118" s="545">
        <f t="shared" si="229"/>
        <v>8.8288888888888879E-3</v>
      </c>
      <c r="BT118" s="545">
        <f t="shared" si="230"/>
        <v>2.9381025570223421E-4</v>
      </c>
      <c r="BU118" s="545"/>
      <c r="BV118" s="545">
        <f t="shared" si="231"/>
        <v>2.1000000000000007E-3</v>
      </c>
      <c r="BW118" s="471">
        <f t="shared" si="232"/>
        <v>11.556020132245443</v>
      </c>
      <c r="BX118" s="178">
        <f t="shared" si="233"/>
        <v>5.2955551759790553E-2</v>
      </c>
      <c r="BY118" s="5">
        <f t="shared" si="234"/>
        <v>0.38400000000000001</v>
      </c>
      <c r="BZ118" s="178">
        <f t="shared" si="235"/>
        <v>0.87880792097384308</v>
      </c>
      <c r="CA118" s="5">
        <f t="shared" si="236"/>
        <v>87.880792097384301</v>
      </c>
      <c r="CD118" s="580">
        <f t="shared" si="237"/>
        <v>-50</v>
      </c>
      <c r="CE118">
        <f t="shared" si="238"/>
        <v>-50</v>
      </c>
    </row>
    <row r="119" spans="5:83" x14ac:dyDescent="0.2">
      <c r="E119" s="175">
        <v>9</v>
      </c>
      <c r="F119" s="222">
        <f t="shared" si="239"/>
        <v>3.5999999999999997E-2</v>
      </c>
      <c r="G119" s="222"/>
      <c r="H119" s="222">
        <f t="shared" si="190"/>
        <v>0.43199999999999994</v>
      </c>
      <c r="I119" s="558">
        <f t="shared" si="191"/>
        <v>21.6</v>
      </c>
      <c r="J119" s="453">
        <f t="shared" si="192"/>
        <v>24.5</v>
      </c>
      <c r="K119" s="453">
        <f t="shared" si="193"/>
        <v>46.1</v>
      </c>
      <c r="L119" s="453"/>
      <c r="M119" s="222">
        <f t="shared" si="194"/>
        <v>0.53145336225596529</v>
      </c>
      <c r="N119" s="177">
        <f t="shared" si="240"/>
        <v>7.9064316702819957</v>
      </c>
      <c r="O119" s="177">
        <f t="shared" si="162"/>
        <v>0.43199999999999994</v>
      </c>
      <c r="P119" s="222">
        <f t="shared" si="195"/>
        <v>0.65886930585683301</v>
      </c>
      <c r="Q119" s="222">
        <f t="shared" si="196"/>
        <v>12</v>
      </c>
      <c r="R119" s="222"/>
      <c r="S119" s="177">
        <f t="shared" si="197"/>
        <v>402.45670463135821</v>
      </c>
      <c r="T119" s="177">
        <f t="shared" si="198"/>
        <v>12</v>
      </c>
      <c r="U119" s="222">
        <f t="shared" si="199"/>
        <v>7.9226638023630488E-2</v>
      </c>
      <c r="V119" s="222">
        <f t="shared" si="200"/>
        <v>0.30810359231411855</v>
      </c>
      <c r="W119" s="222">
        <f t="shared" si="201"/>
        <v>0.27163418750959023</v>
      </c>
      <c r="X119" s="202">
        <f t="shared" si="202"/>
        <v>350</v>
      </c>
      <c r="Y119" s="453">
        <f t="shared" si="203"/>
        <v>350</v>
      </c>
      <c r="AA119" s="222">
        <f t="shared" si="204"/>
        <v>0.39045553145336231</v>
      </c>
      <c r="AB119" s="178">
        <f t="shared" si="205"/>
        <v>1.3387046792686708</v>
      </c>
      <c r="AC119" s="178">
        <f t="shared" si="206"/>
        <v>0.18294662645103313</v>
      </c>
      <c r="AD119" s="178"/>
      <c r="AE119" s="178">
        <f t="shared" si="207"/>
        <v>0.99428571428571422</v>
      </c>
      <c r="AF119" s="562">
        <f t="shared" si="208"/>
        <v>124.85136741973842</v>
      </c>
      <c r="AG119" s="545">
        <f t="shared" si="209"/>
        <v>0.10091999999999998</v>
      </c>
      <c r="AI119" s="178">
        <f t="shared" si="210"/>
        <v>0.17320508075688773</v>
      </c>
      <c r="AJ119" s="178">
        <f t="shared" si="211"/>
        <v>0.28999999999999998</v>
      </c>
      <c r="AK119" s="178">
        <f t="shared" si="212"/>
        <v>1.0713436385255648</v>
      </c>
      <c r="AM119" s="562">
        <f t="shared" si="213"/>
        <v>36</v>
      </c>
      <c r="AN119" s="471">
        <f t="shared" si="214"/>
        <v>124.85136741973842</v>
      </c>
      <c r="AP119" s="471">
        <f t="shared" si="215"/>
        <v>36</v>
      </c>
      <c r="AQ119" s="471">
        <f t="shared" si="216"/>
        <v>124.85136741973842</v>
      </c>
      <c r="AS119" s="5">
        <f t="shared" si="164"/>
        <v>8.0095238095238077</v>
      </c>
      <c r="AT119" s="5">
        <f t="shared" si="217"/>
        <v>1.1277777777777775</v>
      </c>
      <c r="AU119" s="5">
        <f t="shared" si="218"/>
        <v>6.8817460317460304</v>
      </c>
      <c r="AV119" s="5"/>
      <c r="AW119" s="178">
        <f t="shared" si="219"/>
        <v>0.14080459770114942</v>
      </c>
      <c r="AX119" s="178">
        <f t="shared" si="142"/>
        <v>0.441</v>
      </c>
      <c r="AY119" s="178">
        <f t="shared" si="143"/>
        <v>0.24916666666666665</v>
      </c>
      <c r="AZ119" s="178">
        <f t="shared" si="167"/>
        <v>1.7698996655518395</v>
      </c>
      <c r="BD119" s="178">
        <f t="shared" si="168"/>
        <v>6.2826922749902536E-2</v>
      </c>
      <c r="BE119" s="178">
        <f t="shared" si="146"/>
        <v>0.31039401483347651</v>
      </c>
      <c r="BG119" s="545">
        <f t="shared" si="220"/>
        <v>1.3815277777777773E-3</v>
      </c>
      <c r="BH119" s="545">
        <f t="shared" si="221"/>
        <v>1.2518534482758621E-2</v>
      </c>
      <c r="BI119" s="545">
        <f t="shared" si="222"/>
        <v>1.5606420927467301E-3</v>
      </c>
      <c r="BJ119" s="545">
        <f t="shared" si="223"/>
        <v>1.3266768727705115E-2</v>
      </c>
      <c r="BK119">
        <f t="shared" si="224"/>
        <v>6.2640000000000005E-3</v>
      </c>
      <c r="BM119" s="471">
        <f t="shared" si="225"/>
        <v>34.991473080988236</v>
      </c>
      <c r="BN119" s="545">
        <f t="shared" si="226"/>
        <v>1.0799999999999999E-2</v>
      </c>
      <c r="BQ119" s="471">
        <f t="shared" si="227"/>
        <v>10.799999999999999</v>
      </c>
      <c r="BR119" s="545">
        <f t="shared" si="228"/>
        <v>3.7498611111111098E-4</v>
      </c>
      <c r="BS119" s="545">
        <f t="shared" si="229"/>
        <v>8.6709999999999982E-3</v>
      </c>
      <c r="BT119" s="545">
        <f t="shared" si="230"/>
        <v>3.9441030842169035E-4</v>
      </c>
      <c r="BU119" s="545"/>
      <c r="BV119" s="545">
        <f t="shared" si="231"/>
        <v>2.3625000000000005E-3</v>
      </c>
      <c r="BW119" s="471">
        <f t="shared" si="232"/>
        <v>11.8028964195328</v>
      </c>
      <c r="BX119" s="178">
        <f t="shared" si="233"/>
        <v>5.7594369500521041E-2</v>
      </c>
      <c r="BY119" s="5">
        <f t="shared" si="234"/>
        <v>0.43199999999999994</v>
      </c>
      <c r="BZ119" s="178">
        <f t="shared" si="235"/>
        <v>0.88236308853127088</v>
      </c>
      <c r="CA119" s="5">
        <f t="shared" si="236"/>
        <v>88.236308853127085</v>
      </c>
      <c r="CD119" s="580">
        <f t="shared" si="237"/>
        <v>-50</v>
      </c>
      <c r="CE119">
        <f t="shared" si="238"/>
        <v>-50</v>
      </c>
    </row>
    <row r="120" spans="5:83" x14ac:dyDescent="0.2">
      <c r="E120" s="175">
        <v>10</v>
      </c>
      <c r="F120" s="222">
        <f t="shared" si="239"/>
        <v>4.0000000000000008E-2</v>
      </c>
      <c r="G120" s="222"/>
      <c r="H120" s="222">
        <f t="shared" si="190"/>
        <v>0.48000000000000009</v>
      </c>
      <c r="I120" s="558">
        <f t="shared" si="191"/>
        <v>21.6</v>
      </c>
      <c r="J120" s="453">
        <f t="shared" si="192"/>
        <v>24.5</v>
      </c>
      <c r="K120" s="453">
        <f t="shared" si="193"/>
        <v>46.1</v>
      </c>
      <c r="L120" s="453"/>
      <c r="M120" s="222">
        <f t="shared" si="194"/>
        <v>0.53145336225596529</v>
      </c>
      <c r="N120" s="177">
        <f t="shared" si="240"/>
        <v>7.9064316702819957</v>
      </c>
      <c r="O120" s="177">
        <f t="shared" si="162"/>
        <v>0.48000000000000009</v>
      </c>
      <c r="P120" s="222">
        <f t="shared" si="195"/>
        <v>0.65886930585683301</v>
      </c>
      <c r="Q120" s="222">
        <f t="shared" si="196"/>
        <v>12</v>
      </c>
      <c r="R120" s="222"/>
      <c r="S120" s="177">
        <f t="shared" si="197"/>
        <v>361.13247130869462</v>
      </c>
      <c r="T120" s="177">
        <f t="shared" si="198"/>
        <v>12</v>
      </c>
      <c r="U120" s="222">
        <f t="shared" si="199"/>
        <v>8.802959780403391E-2</v>
      </c>
      <c r="V120" s="222">
        <f t="shared" si="200"/>
        <v>0.34233732479346518</v>
      </c>
      <c r="W120" s="222">
        <f t="shared" si="201"/>
        <v>0.30181576389954484</v>
      </c>
      <c r="X120" s="202">
        <f t="shared" si="202"/>
        <v>350</v>
      </c>
      <c r="Y120" s="453">
        <f t="shared" si="203"/>
        <v>350</v>
      </c>
      <c r="AA120" s="222">
        <f t="shared" si="204"/>
        <v>0.39045553145336231</v>
      </c>
      <c r="AB120" s="178">
        <f t="shared" si="205"/>
        <v>1.3387046792686708</v>
      </c>
      <c r="AC120" s="178">
        <f t="shared" si="206"/>
        <v>0.18294662645103313</v>
      </c>
      <c r="AD120" s="178"/>
      <c r="AE120" s="178">
        <f t="shared" si="207"/>
        <v>0.99428571428571422</v>
      </c>
      <c r="AF120" s="562">
        <f t="shared" si="208"/>
        <v>138.72374157748717</v>
      </c>
      <c r="AG120" s="545">
        <f t="shared" si="209"/>
        <v>0.10091999999999998</v>
      </c>
      <c r="AI120" s="178">
        <f t="shared" si="210"/>
        <v>0.18257418583505539</v>
      </c>
      <c r="AJ120" s="178">
        <f t="shared" si="211"/>
        <v>0.28999999999999998</v>
      </c>
      <c r="AK120" s="178">
        <f t="shared" si="212"/>
        <v>1.0792707094728498</v>
      </c>
      <c r="AM120" s="562">
        <f t="shared" si="213"/>
        <v>40.000000000000007</v>
      </c>
      <c r="AN120" s="471">
        <f t="shared" si="214"/>
        <v>138.72374157748717</v>
      </c>
      <c r="AP120" s="471">
        <f t="shared" si="215"/>
        <v>40.000000000000007</v>
      </c>
      <c r="AQ120" s="471">
        <f t="shared" si="216"/>
        <v>138.72374157748717</v>
      </c>
      <c r="AS120" s="5">
        <f t="shared" si="164"/>
        <v>7.2085714285714255</v>
      </c>
      <c r="AT120" s="5">
        <f t="shared" si="217"/>
        <v>1.1277777777777775</v>
      </c>
      <c r="AU120" s="5">
        <f t="shared" si="218"/>
        <v>6.0807936507936482</v>
      </c>
      <c r="AV120" s="5"/>
      <c r="AW120" s="178">
        <f t="shared" si="219"/>
        <v>0.15644955300127716</v>
      </c>
      <c r="AX120" s="178">
        <f t="shared" si="142"/>
        <v>0.4900000000000001</v>
      </c>
      <c r="AY120" s="178">
        <f t="shared" si="143"/>
        <v>0.24462962962962961</v>
      </c>
      <c r="AZ120" s="178">
        <f t="shared" si="167"/>
        <v>2.0030280090840278</v>
      </c>
      <c r="BD120" s="178">
        <f t="shared" si="168"/>
        <v>6.6225391423047106E-2</v>
      </c>
      <c r="BE120" s="178">
        <f t="shared" si="146"/>
        <v>0.30755507385960995</v>
      </c>
      <c r="BG120" s="545">
        <f t="shared" si="220"/>
        <v>1.5350308641975301E-3</v>
      </c>
      <c r="BH120" s="545">
        <f t="shared" si="221"/>
        <v>1.3909482758620693E-2</v>
      </c>
      <c r="BI120" s="545">
        <f t="shared" si="222"/>
        <v>1.7340467697185896E-3</v>
      </c>
      <c r="BJ120" s="545">
        <f t="shared" si="223"/>
        <v>1.4740854141894575E-2</v>
      </c>
      <c r="BK120">
        <f t="shared" si="224"/>
        <v>6.2640000000000005E-3</v>
      </c>
      <c r="BM120" s="471">
        <f t="shared" si="225"/>
        <v>38.183414534431385</v>
      </c>
      <c r="BN120" s="545">
        <f t="shared" si="226"/>
        <v>1.2000000000000002E-2</v>
      </c>
      <c r="BQ120" s="471">
        <f t="shared" si="227"/>
        <v>12.000000000000002</v>
      </c>
      <c r="BR120" s="545">
        <f t="shared" si="228"/>
        <v>4.1665123456790111E-4</v>
      </c>
      <c r="BS120" s="545">
        <f t="shared" si="229"/>
        <v>8.5131111111111119E-3</v>
      </c>
      <c r="BT120" s="545">
        <f t="shared" si="230"/>
        <v>5.1326539393499264E-4</v>
      </c>
      <c r="BU120" s="545"/>
      <c r="BV120" s="545">
        <f t="shared" si="231"/>
        <v>2.625000000000001E-3</v>
      </c>
      <c r="BW120" s="471">
        <f t="shared" si="232"/>
        <v>12.068027739614006</v>
      </c>
      <c r="BX120" s="178">
        <f t="shared" si="233"/>
        <v>6.2251442274045402E-2</v>
      </c>
      <c r="BY120" s="5">
        <f t="shared" si="234"/>
        <v>0.48000000000000009</v>
      </c>
      <c r="BZ120" s="178">
        <f t="shared" si="235"/>
        <v>0.8851981988042652</v>
      </c>
      <c r="CA120" s="5">
        <f t="shared" si="236"/>
        <v>88.519819880426525</v>
      </c>
      <c r="CD120" s="580">
        <f t="shared" si="237"/>
        <v>-50</v>
      </c>
      <c r="CE120">
        <f t="shared" si="238"/>
        <v>-50</v>
      </c>
    </row>
    <row r="121" spans="5:83" x14ac:dyDescent="0.2">
      <c r="E121" s="175">
        <v>11</v>
      </c>
      <c r="F121" s="222">
        <f t="shared" si="239"/>
        <v>4.4000000000000004E-2</v>
      </c>
      <c r="G121" s="222"/>
      <c r="H121" s="222">
        <f t="shared" si="190"/>
        <v>0.52800000000000002</v>
      </c>
      <c r="I121" s="558">
        <f t="shared" si="191"/>
        <v>21.6</v>
      </c>
      <c r="J121" s="453">
        <f t="shared" si="192"/>
        <v>24.5</v>
      </c>
      <c r="K121" s="453">
        <f t="shared" si="193"/>
        <v>46.1</v>
      </c>
      <c r="L121" s="453"/>
      <c r="M121" s="222">
        <f t="shared" si="194"/>
        <v>0.53145336225596529</v>
      </c>
      <c r="N121" s="177">
        <f t="shared" si="240"/>
        <v>7.9064316702819957</v>
      </c>
      <c r="O121" s="177">
        <f t="shared" si="162"/>
        <v>0.52800000000000002</v>
      </c>
      <c r="P121" s="222">
        <f t="shared" si="195"/>
        <v>0.65886930585683301</v>
      </c>
      <c r="Q121" s="222">
        <f t="shared" si="196"/>
        <v>12</v>
      </c>
      <c r="R121" s="222"/>
      <c r="S121" s="177">
        <f t="shared" si="197"/>
        <v>327.32187882941099</v>
      </c>
      <c r="T121" s="177">
        <f t="shared" si="198"/>
        <v>12</v>
      </c>
      <c r="U121" s="222">
        <f t="shared" si="199"/>
        <v>9.683255758443729E-2</v>
      </c>
      <c r="V121" s="222">
        <f t="shared" si="200"/>
        <v>0.37657105727281165</v>
      </c>
      <c r="W121" s="222">
        <f t="shared" si="201"/>
        <v>0.33199734028949929</v>
      </c>
      <c r="X121" s="202">
        <f t="shared" si="202"/>
        <v>350</v>
      </c>
      <c r="Y121" s="453">
        <f t="shared" si="203"/>
        <v>350</v>
      </c>
      <c r="AA121" s="222">
        <f t="shared" si="204"/>
        <v>0.39045553145336231</v>
      </c>
      <c r="AB121" s="178">
        <f t="shared" si="205"/>
        <v>1.3387046792686708</v>
      </c>
      <c r="AC121" s="178">
        <f t="shared" si="206"/>
        <v>0.18294662645103313</v>
      </c>
      <c r="AD121" s="178"/>
      <c r="AE121" s="178">
        <f t="shared" si="207"/>
        <v>0.99428571428571422</v>
      </c>
      <c r="AF121" s="562">
        <f t="shared" si="208"/>
        <v>152.59611573523588</v>
      </c>
      <c r="AG121" s="545">
        <f t="shared" si="209"/>
        <v>0.10091999999999998</v>
      </c>
      <c r="AI121" s="178">
        <f t="shared" si="210"/>
        <v>0.19148542155126763</v>
      </c>
      <c r="AJ121" s="178">
        <f t="shared" si="211"/>
        <v>0.28999999999999998</v>
      </c>
      <c r="AK121" s="178">
        <f t="shared" si="212"/>
        <v>1.0871977804201347</v>
      </c>
      <c r="AM121" s="562">
        <f t="shared" si="213"/>
        <v>44.000000000000007</v>
      </c>
      <c r="AN121" s="471">
        <f t="shared" si="214"/>
        <v>152.59611573523588</v>
      </c>
      <c r="AP121" s="471">
        <f t="shared" si="215"/>
        <v>44.000000000000007</v>
      </c>
      <c r="AQ121" s="471">
        <f t="shared" si="216"/>
        <v>152.59611573523588</v>
      </c>
      <c r="AS121" s="5">
        <f t="shared" si="164"/>
        <v>6.5532467532467509</v>
      </c>
      <c r="AT121" s="5">
        <f t="shared" si="217"/>
        <v>1.1277777777777775</v>
      </c>
      <c r="AU121" s="5">
        <f t="shared" si="218"/>
        <v>5.4254689754689736</v>
      </c>
      <c r="AV121" s="5"/>
      <c r="AW121" s="178">
        <f t="shared" si="219"/>
        <v>0.17209450830140488</v>
      </c>
      <c r="AX121" s="178">
        <f t="shared" si="142"/>
        <v>0.53900000000000015</v>
      </c>
      <c r="AY121" s="178">
        <f t="shared" si="143"/>
        <v>0.24009259259259255</v>
      </c>
      <c r="AZ121" s="178">
        <f t="shared" si="167"/>
        <v>2.2449672194369468</v>
      </c>
      <c r="BD121" s="178">
        <f t="shared" si="168"/>
        <v>6.9457776498023482E-2</v>
      </c>
      <c r="BE121" s="178">
        <f t="shared" si="146"/>
        <v>0.30468968224922843</v>
      </c>
      <c r="BG121" s="545">
        <f t="shared" si="220"/>
        <v>1.688533950617284E-3</v>
      </c>
      <c r="BH121" s="545">
        <f t="shared" si="221"/>
        <v>1.5300431034482764E-2</v>
      </c>
      <c r="BI121" s="545">
        <f t="shared" si="222"/>
        <v>1.9074514466904486E-3</v>
      </c>
      <c r="BJ121" s="545">
        <f t="shared" si="223"/>
        <v>1.6214939556084031E-2</v>
      </c>
      <c r="BK121">
        <f t="shared" si="224"/>
        <v>6.2640000000000005E-3</v>
      </c>
      <c r="BM121" s="471">
        <f t="shared" si="225"/>
        <v>41.375355987874528</v>
      </c>
      <c r="BN121" s="545">
        <f t="shared" si="226"/>
        <v>1.3200000000000002E-2</v>
      </c>
      <c r="BQ121" s="471">
        <f t="shared" si="227"/>
        <v>13.200000000000001</v>
      </c>
      <c r="BR121" s="545">
        <f t="shared" si="228"/>
        <v>4.5831635802469144E-4</v>
      </c>
      <c r="BS121" s="545">
        <f t="shared" si="229"/>
        <v>8.3552222222222205E-3</v>
      </c>
      <c r="BT121" s="545">
        <f t="shared" si="230"/>
        <v>6.5136391680845626E-4</v>
      </c>
      <c r="BU121" s="545"/>
      <c r="BV121" s="545">
        <f t="shared" si="231"/>
        <v>2.8875000000000012E-3</v>
      </c>
      <c r="BW121" s="471">
        <f t="shared" si="232"/>
        <v>12.352402497055369</v>
      </c>
      <c r="BX121" s="178">
        <f t="shared" si="233"/>
        <v>6.6927758484929892E-2</v>
      </c>
      <c r="BY121" s="5">
        <f t="shared" si="234"/>
        <v>0.52800000000000002</v>
      </c>
      <c r="BZ121" s="178">
        <f t="shared" si="235"/>
        <v>0.88750271351370258</v>
      </c>
      <c r="CA121" s="5">
        <f t="shared" si="236"/>
        <v>88.750271351370259</v>
      </c>
      <c r="CD121" s="580">
        <f t="shared" si="237"/>
        <v>-50</v>
      </c>
      <c r="CE121">
        <f t="shared" si="238"/>
        <v>-50</v>
      </c>
    </row>
    <row r="122" spans="5:83" x14ac:dyDescent="0.2">
      <c r="E122" s="175">
        <v>12</v>
      </c>
      <c r="F122" s="222">
        <f t="shared" si="239"/>
        <v>4.8000000000000001E-2</v>
      </c>
      <c r="G122" s="222"/>
      <c r="H122" s="222">
        <f t="shared" si="190"/>
        <v>0.57600000000000007</v>
      </c>
      <c r="I122" s="558">
        <f t="shared" si="191"/>
        <v>21.6</v>
      </c>
      <c r="J122" s="453">
        <f t="shared" si="192"/>
        <v>24.5</v>
      </c>
      <c r="K122" s="453">
        <f t="shared" si="193"/>
        <v>46.1</v>
      </c>
      <c r="L122" s="453"/>
      <c r="M122" s="222">
        <f t="shared" si="194"/>
        <v>0.53145336225596529</v>
      </c>
      <c r="N122" s="177">
        <f t="shared" si="240"/>
        <v>7.9064316702819957</v>
      </c>
      <c r="O122" s="177">
        <f t="shared" si="162"/>
        <v>0.57600000000000007</v>
      </c>
      <c r="P122" s="222">
        <f t="shared" si="195"/>
        <v>0.65886930585683301</v>
      </c>
      <c r="Q122" s="222">
        <f t="shared" si="196"/>
        <v>12</v>
      </c>
      <c r="R122" s="222"/>
      <c r="S122" s="177">
        <f t="shared" si="197"/>
        <v>299.14651814094816</v>
      </c>
      <c r="T122" s="177">
        <f t="shared" si="198"/>
        <v>12</v>
      </c>
      <c r="U122" s="222">
        <f t="shared" si="199"/>
        <v>0.10563551736484068</v>
      </c>
      <c r="V122" s="222">
        <f t="shared" si="200"/>
        <v>0.41080478975215817</v>
      </c>
      <c r="W122" s="222">
        <f t="shared" si="201"/>
        <v>0.36217891667945373</v>
      </c>
      <c r="X122" s="202">
        <f t="shared" si="202"/>
        <v>350</v>
      </c>
      <c r="Y122" s="453">
        <f t="shared" si="203"/>
        <v>350</v>
      </c>
      <c r="AA122" s="222">
        <f t="shared" si="204"/>
        <v>0.39045553145336231</v>
      </c>
      <c r="AB122" s="178">
        <f t="shared" si="205"/>
        <v>1.3387046792686708</v>
      </c>
      <c r="AC122" s="178">
        <f t="shared" si="206"/>
        <v>0.18294662645103313</v>
      </c>
      <c r="AD122" s="178"/>
      <c r="AE122" s="178">
        <f t="shared" si="207"/>
        <v>0.99428571428571422</v>
      </c>
      <c r="AF122" s="562">
        <f t="shared" si="208"/>
        <v>166.46848989298459</v>
      </c>
      <c r="AG122" s="545">
        <f t="shared" si="209"/>
        <v>0.10091999999999998</v>
      </c>
      <c r="AI122" s="178">
        <f t="shared" si="210"/>
        <v>0.2</v>
      </c>
      <c r="AJ122" s="178">
        <f t="shared" si="211"/>
        <v>0.28999999999999998</v>
      </c>
      <c r="AK122" s="178">
        <f t="shared" si="212"/>
        <v>1.0951248513674197</v>
      </c>
      <c r="AM122" s="562">
        <f t="shared" si="213"/>
        <v>48</v>
      </c>
      <c r="AN122" s="471">
        <f t="shared" si="214"/>
        <v>166.46848989298459</v>
      </c>
      <c r="AP122" s="471">
        <f t="shared" si="215"/>
        <v>48</v>
      </c>
      <c r="AQ122" s="471">
        <f t="shared" si="216"/>
        <v>166.46848989298459</v>
      </c>
      <c r="AS122" s="5">
        <f t="shared" si="164"/>
        <v>6.0071428571428553</v>
      </c>
      <c r="AT122" s="5">
        <f t="shared" si="217"/>
        <v>1.1277777777777775</v>
      </c>
      <c r="AU122" s="5">
        <f t="shared" si="218"/>
        <v>4.879365079365078</v>
      </c>
      <c r="AV122" s="5"/>
      <c r="AW122" s="178">
        <f t="shared" si="219"/>
        <v>0.1877394636015326</v>
      </c>
      <c r="AX122" s="178">
        <f t="shared" si="142"/>
        <v>0.58800000000000008</v>
      </c>
      <c r="AY122" s="178">
        <f t="shared" si="143"/>
        <v>0.23555555555555552</v>
      </c>
      <c r="AZ122" s="178">
        <f t="shared" si="167"/>
        <v>2.4962264150943403</v>
      </c>
      <c r="BD122" s="178">
        <f t="shared" si="168"/>
        <v>7.254628152402412E-2</v>
      </c>
      <c r="BE122" s="178">
        <f t="shared" si="146"/>
        <v>0.30179708660204368</v>
      </c>
      <c r="BG122" s="545">
        <f t="shared" si="220"/>
        <v>1.842037037037037E-3</v>
      </c>
      <c r="BH122" s="545">
        <f t="shared" si="221"/>
        <v>1.6691379310344832E-2</v>
      </c>
      <c r="BI122" s="545">
        <f t="shared" si="222"/>
        <v>2.0808561236623072E-3</v>
      </c>
      <c r="BJ122" s="545">
        <f t="shared" si="223"/>
        <v>1.7689024970273488E-2</v>
      </c>
      <c r="BK122">
        <f t="shared" si="224"/>
        <v>6.2640000000000005E-3</v>
      </c>
      <c r="BM122" s="471">
        <f t="shared" si="225"/>
        <v>44.567297441317663</v>
      </c>
      <c r="BN122" s="545">
        <f t="shared" si="226"/>
        <v>1.44E-2</v>
      </c>
      <c r="BQ122" s="471">
        <f t="shared" si="227"/>
        <v>14.4</v>
      </c>
      <c r="BR122" s="545">
        <f t="shared" si="228"/>
        <v>4.9998148148148146E-4</v>
      </c>
      <c r="BS122" s="545">
        <f t="shared" si="229"/>
        <v>8.1973333333333308E-3</v>
      </c>
      <c r="BT122" s="545">
        <f t="shared" si="230"/>
        <v>8.0964585862551488E-4</v>
      </c>
      <c r="BU122" s="545"/>
      <c r="BV122" s="545">
        <f t="shared" si="231"/>
        <v>3.1500000000000009E-3</v>
      </c>
      <c r="BW122" s="471">
        <f t="shared" si="232"/>
        <v>12.656960673440329</v>
      </c>
      <c r="BX122" s="178">
        <f t="shared" si="233"/>
        <v>7.1624258114757991E-2</v>
      </c>
      <c r="BY122" s="5">
        <f t="shared" si="234"/>
        <v>0.57600000000000007</v>
      </c>
      <c r="BZ122" s="178">
        <f t="shared" si="235"/>
        <v>0.88940460889581696</v>
      </c>
      <c r="CA122" s="5">
        <f t="shared" si="236"/>
        <v>88.940460889581701</v>
      </c>
      <c r="CD122" s="580">
        <f t="shared" si="237"/>
        <v>-50</v>
      </c>
      <c r="CE122">
        <f t="shared" si="238"/>
        <v>-50</v>
      </c>
    </row>
    <row r="123" spans="5:83" x14ac:dyDescent="0.2">
      <c r="E123" s="175">
        <v>13</v>
      </c>
      <c r="F123" s="222">
        <f t="shared" si="239"/>
        <v>5.2000000000000005E-2</v>
      </c>
      <c r="G123" s="222"/>
      <c r="H123" s="222">
        <f t="shared" si="190"/>
        <v>0.62400000000000011</v>
      </c>
      <c r="I123" s="558">
        <f t="shared" si="191"/>
        <v>21.6</v>
      </c>
      <c r="J123" s="453">
        <f t="shared" si="192"/>
        <v>24.5</v>
      </c>
      <c r="K123" s="453">
        <f t="shared" si="193"/>
        <v>46.1</v>
      </c>
      <c r="L123" s="453"/>
      <c r="M123" s="222">
        <f t="shared" si="194"/>
        <v>0.53145336225596529</v>
      </c>
      <c r="N123" s="177">
        <f t="shared" si="240"/>
        <v>7.9064316702819957</v>
      </c>
      <c r="O123" s="177">
        <f t="shared" si="162"/>
        <v>0.62400000000000011</v>
      </c>
      <c r="P123" s="222">
        <f t="shared" si="195"/>
        <v>0.65886930585683301</v>
      </c>
      <c r="Q123" s="222">
        <f t="shared" si="196"/>
        <v>12</v>
      </c>
      <c r="R123" s="222"/>
      <c r="S123" s="177">
        <f t="shared" si="197"/>
        <v>275.30595221914575</v>
      </c>
      <c r="T123" s="177">
        <f t="shared" si="198"/>
        <v>12</v>
      </c>
      <c r="U123" s="222">
        <f t="shared" si="199"/>
        <v>0.11443847714524408</v>
      </c>
      <c r="V123" s="222">
        <f t="shared" si="200"/>
        <v>0.44503852223150464</v>
      </c>
      <c r="W123" s="222">
        <f t="shared" si="201"/>
        <v>0.39236049306940818</v>
      </c>
      <c r="X123" s="202">
        <f t="shared" si="202"/>
        <v>350</v>
      </c>
      <c r="Y123" s="453">
        <f t="shared" si="203"/>
        <v>350</v>
      </c>
      <c r="AA123" s="222">
        <f t="shared" si="204"/>
        <v>0.39045553145336231</v>
      </c>
      <c r="AB123" s="178">
        <f t="shared" si="205"/>
        <v>1.3387046792686708</v>
      </c>
      <c r="AC123" s="178">
        <f t="shared" si="206"/>
        <v>0.18294662645103313</v>
      </c>
      <c r="AD123" s="178"/>
      <c r="AE123" s="178">
        <f t="shared" si="207"/>
        <v>0.99428571428571422</v>
      </c>
      <c r="AF123" s="562">
        <f t="shared" si="208"/>
        <v>180.3408640507333</v>
      </c>
      <c r="AG123" s="545">
        <f t="shared" si="209"/>
        <v>0.10091999999999998</v>
      </c>
      <c r="AI123" s="178">
        <f t="shared" si="210"/>
        <v>0.2081665999466133</v>
      </c>
      <c r="AJ123" s="178">
        <f t="shared" si="211"/>
        <v>0.28999999999999998</v>
      </c>
      <c r="AK123" s="178">
        <f t="shared" si="212"/>
        <v>1.1030519223147048</v>
      </c>
      <c r="AM123" s="562">
        <f t="shared" si="213"/>
        <v>52.000000000000007</v>
      </c>
      <c r="AN123" s="471">
        <f t="shared" si="214"/>
        <v>180.3408640507333</v>
      </c>
      <c r="AP123" s="471">
        <f t="shared" si="215"/>
        <v>52.000000000000007</v>
      </c>
      <c r="AQ123" s="471">
        <f t="shared" si="216"/>
        <v>180.3408640507333</v>
      </c>
      <c r="AS123" s="5">
        <f t="shared" si="164"/>
        <v>5.545054945054944</v>
      </c>
      <c r="AT123" s="5">
        <f t="shared" si="217"/>
        <v>1.1277777777777775</v>
      </c>
      <c r="AU123" s="5">
        <f t="shared" si="218"/>
        <v>4.4172771672771667</v>
      </c>
      <c r="AV123" s="5"/>
      <c r="AW123" s="178">
        <f t="shared" si="219"/>
        <v>0.20338441890166029</v>
      </c>
      <c r="AX123" s="178">
        <f t="shared" si="142"/>
        <v>0.63700000000000012</v>
      </c>
      <c r="AY123" s="178">
        <f t="shared" si="143"/>
        <v>0.23101851851851851</v>
      </c>
      <c r="AZ123" s="178">
        <f t="shared" si="167"/>
        <v>2.7573547094188382</v>
      </c>
      <c r="BD123" s="178">
        <f t="shared" si="168"/>
        <v>7.5508563818129551E-2</v>
      </c>
      <c r="BE123" s="178">
        <f t="shared" si="146"/>
        <v>0.29887649705827846</v>
      </c>
      <c r="BG123" s="545">
        <f t="shared" si="220"/>
        <v>1.99554012345679E-3</v>
      </c>
      <c r="BH123" s="545">
        <f t="shared" si="221"/>
        <v>1.8082327586206898E-2</v>
      </c>
      <c r="BI123" s="545">
        <f t="shared" si="222"/>
        <v>2.2542608006341663E-3</v>
      </c>
      <c r="BJ123" s="545">
        <f t="shared" si="223"/>
        <v>1.9163110384462945E-2</v>
      </c>
      <c r="BK123">
        <f t="shared" si="224"/>
        <v>6.2640000000000005E-3</v>
      </c>
      <c r="BM123" s="471">
        <f t="shared" si="225"/>
        <v>47.759238894760799</v>
      </c>
      <c r="BN123" s="545">
        <f t="shared" si="226"/>
        <v>1.5600000000000001E-2</v>
      </c>
      <c r="BQ123" s="471">
        <f t="shared" si="227"/>
        <v>15.600000000000001</v>
      </c>
      <c r="BR123" s="545">
        <f t="shared" si="228"/>
        <v>5.4164660493827158E-4</v>
      </c>
      <c r="BS123" s="545">
        <f t="shared" si="229"/>
        <v>8.0394444444444411E-3</v>
      </c>
      <c r="BT123" s="545">
        <f t="shared" si="230"/>
        <v>9.8900927493427446E-4</v>
      </c>
      <c r="BU123" s="545"/>
      <c r="BV123" s="545">
        <f t="shared" si="231"/>
        <v>3.4125000000000006E-3</v>
      </c>
      <c r="BW123" s="471">
        <f t="shared" si="232"/>
        <v>12.982600324316987</v>
      </c>
      <c r="BX123" s="178">
        <f t="shared" si="233"/>
        <v>7.6341839219077778E-2</v>
      </c>
      <c r="BY123" s="5">
        <f t="shared" si="234"/>
        <v>0.62400000000000011</v>
      </c>
      <c r="BZ123" s="178">
        <f t="shared" si="235"/>
        <v>0.89099346212957464</v>
      </c>
      <c r="CA123" s="5">
        <f t="shared" si="236"/>
        <v>89.099346212957471</v>
      </c>
      <c r="CD123" s="580">
        <f t="shared" si="237"/>
        <v>-50</v>
      </c>
      <c r="CE123">
        <f t="shared" si="238"/>
        <v>-50</v>
      </c>
    </row>
    <row r="124" spans="5:83" x14ac:dyDescent="0.2">
      <c r="E124" s="175">
        <v>14</v>
      </c>
      <c r="F124" s="222">
        <f t="shared" si="239"/>
        <v>5.6000000000000008E-2</v>
      </c>
      <c r="G124" s="222"/>
      <c r="H124" s="222">
        <f t="shared" si="190"/>
        <v>0.67200000000000015</v>
      </c>
      <c r="I124" s="558">
        <f t="shared" si="191"/>
        <v>21.6</v>
      </c>
      <c r="J124" s="453">
        <f t="shared" si="192"/>
        <v>24.5</v>
      </c>
      <c r="K124" s="453">
        <f t="shared" si="193"/>
        <v>46.1</v>
      </c>
      <c r="L124" s="453"/>
      <c r="M124" s="222">
        <f t="shared" si="194"/>
        <v>0.53145336225596529</v>
      </c>
      <c r="N124" s="177">
        <f t="shared" si="240"/>
        <v>7.9064316702819957</v>
      </c>
      <c r="O124" s="177">
        <f t="shared" si="162"/>
        <v>0.67200000000000015</v>
      </c>
      <c r="P124" s="222">
        <f t="shared" si="195"/>
        <v>0.65886930585683301</v>
      </c>
      <c r="Q124" s="222">
        <f t="shared" si="196"/>
        <v>12</v>
      </c>
      <c r="R124" s="222"/>
      <c r="S124" s="177">
        <f t="shared" si="197"/>
        <v>254.87129748682912</v>
      </c>
      <c r="T124" s="177">
        <f t="shared" si="198"/>
        <v>12</v>
      </c>
      <c r="U124" s="222">
        <f t="shared" si="199"/>
        <v>0.12324143692564747</v>
      </c>
      <c r="V124" s="222">
        <f t="shared" si="200"/>
        <v>0.47927225471085128</v>
      </c>
      <c r="W124" s="222">
        <f t="shared" si="201"/>
        <v>0.42254206945936273</v>
      </c>
      <c r="X124" s="202">
        <f t="shared" si="202"/>
        <v>350</v>
      </c>
      <c r="Y124" s="453">
        <f t="shared" si="203"/>
        <v>350</v>
      </c>
      <c r="AA124" s="222">
        <f t="shared" si="204"/>
        <v>0.39045553145336231</v>
      </c>
      <c r="AB124" s="178">
        <f t="shared" si="205"/>
        <v>1.3387046792686708</v>
      </c>
      <c r="AC124" s="178">
        <f t="shared" si="206"/>
        <v>0.18294662645103313</v>
      </c>
      <c r="AD124" s="178"/>
      <c r="AE124" s="178">
        <f t="shared" si="207"/>
        <v>0.99428571428571422</v>
      </c>
      <c r="AF124" s="562">
        <f t="shared" si="208"/>
        <v>194.21323820848204</v>
      </c>
      <c r="AG124" s="545">
        <f t="shared" si="209"/>
        <v>0.10091999999999998</v>
      </c>
      <c r="AI124" s="178">
        <f t="shared" si="210"/>
        <v>0.21602468994692869</v>
      </c>
      <c r="AJ124" s="178">
        <f t="shared" si="211"/>
        <v>0.28999999999999998</v>
      </c>
      <c r="AK124" s="178">
        <f t="shared" si="212"/>
        <v>1.1109789932619898</v>
      </c>
      <c r="AM124" s="562">
        <f t="shared" si="213"/>
        <v>56.000000000000007</v>
      </c>
      <c r="AN124" s="471">
        <f t="shared" si="214"/>
        <v>194.21323820848204</v>
      </c>
      <c r="AP124" s="471">
        <f t="shared" si="215"/>
        <v>56.000000000000007</v>
      </c>
      <c r="AQ124" s="471">
        <f t="shared" si="216"/>
        <v>194.21323820848204</v>
      </c>
      <c r="AS124" s="5">
        <f t="shared" si="164"/>
        <v>5.1489795918367331</v>
      </c>
      <c r="AT124" s="5">
        <f t="shared" si="217"/>
        <v>1.1277777777777775</v>
      </c>
      <c r="AU124" s="5">
        <f t="shared" si="218"/>
        <v>4.0212018140589558</v>
      </c>
      <c r="AV124" s="5"/>
      <c r="AW124" s="178">
        <f t="shared" si="219"/>
        <v>0.219029374201788</v>
      </c>
      <c r="AX124" s="178">
        <f t="shared" si="142"/>
        <v>0.68600000000000017</v>
      </c>
      <c r="AY124" s="178">
        <f t="shared" si="143"/>
        <v>0.22648148148148145</v>
      </c>
      <c r="AZ124" s="178">
        <f t="shared" si="167"/>
        <v>3.0289452166802957</v>
      </c>
      <c r="BD124" s="178">
        <f t="shared" si="168"/>
        <v>7.8358939865149552E-2</v>
      </c>
      <c r="BE124" s="178">
        <f t="shared" si="146"/>
        <v>0.29592708477963425</v>
      </c>
      <c r="BG124" s="545">
        <f t="shared" si="220"/>
        <v>2.149043209876543E-3</v>
      </c>
      <c r="BH124" s="545">
        <f t="shared" si="221"/>
        <v>1.947327586206897E-2</v>
      </c>
      <c r="BI124" s="545">
        <f t="shared" si="222"/>
        <v>2.4276654776060253E-3</v>
      </c>
      <c r="BJ124" s="545">
        <f t="shared" si="223"/>
        <v>2.0637195798652405E-2</v>
      </c>
      <c r="BK124">
        <f t="shared" si="224"/>
        <v>6.2640000000000005E-3</v>
      </c>
      <c r="BM124" s="471">
        <f t="shared" si="225"/>
        <v>50.951180348203941</v>
      </c>
      <c r="BN124" s="545">
        <f t="shared" si="226"/>
        <v>1.6800000000000002E-2</v>
      </c>
      <c r="BQ124" s="471">
        <f t="shared" si="227"/>
        <v>16.8</v>
      </c>
      <c r="BR124" s="545">
        <f t="shared" si="228"/>
        <v>5.8331172839506181E-4</v>
      </c>
      <c r="BS124" s="545">
        <f t="shared" si="229"/>
        <v>7.8815555555555548E-3</v>
      </c>
      <c r="BT124" s="545">
        <f t="shared" si="230"/>
        <v>1.1903154560060022E-3</v>
      </c>
      <c r="BU124" s="545"/>
      <c r="BV124" s="545">
        <f t="shared" si="231"/>
        <v>3.6750000000000012E-3</v>
      </c>
      <c r="BW124" s="471">
        <f t="shared" si="232"/>
        <v>13.330182739956621</v>
      </c>
      <c r="BX124" s="178">
        <f t="shared" si="233"/>
        <v>8.1081363088160566E-2</v>
      </c>
      <c r="BY124" s="5">
        <f t="shared" si="234"/>
        <v>0.67200000000000015</v>
      </c>
      <c r="BZ124" s="178">
        <f t="shared" si="235"/>
        <v>0.89233386050655905</v>
      </c>
      <c r="CA124" s="5">
        <f t="shared" si="236"/>
        <v>89.233386050655909</v>
      </c>
      <c r="CD124" s="580">
        <f t="shared" si="237"/>
        <v>-50</v>
      </c>
      <c r="CE124">
        <f t="shared" si="238"/>
        <v>-50</v>
      </c>
    </row>
    <row r="125" spans="5:83" x14ac:dyDescent="0.2">
      <c r="E125" s="175">
        <v>15</v>
      </c>
      <c r="F125" s="222">
        <f t="shared" si="239"/>
        <v>0.06</v>
      </c>
      <c r="G125" s="222"/>
      <c r="H125" s="222">
        <f t="shared" si="190"/>
        <v>0.72</v>
      </c>
      <c r="I125" s="558">
        <f t="shared" si="191"/>
        <v>21.6</v>
      </c>
      <c r="J125" s="453">
        <f t="shared" si="192"/>
        <v>24.5</v>
      </c>
      <c r="K125" s="453">
        <f t="shared" si="193"/>
        <v>46.1</v>
      </c>
      <c r="L125" s="453"/>
      <c r="M125" s="222">
        <f t="shared" si="194"/>
        <v>0.53145336225596529</v>
      </c>
      <c r="N125" s="177">
        <f t="shared" si="240"/>
        <v>7.9064316702819957</v>
      </c>
      <c r="O125" s="177">
        <f t="shared" si="162"/>
        <v>0.72</v>
      </c>
      <c r="P125" s="222">
        <f t="shared" si="195"/>
        <v>0.65886930585683301</v>
      </c>
      <c r="Q125" s="222">
        <f t="shared" si="196"/>
        <v>12</v>
      </c>
      <c r="R125" s="222"/>
      <c r="S125" s="177">
        <f t="shared" si="197"/>
        <v>237.16137266496418</v>
      </c>
      <c r="T125" s="177">
        <f t="shared" si="198"/>
        <v>12</v>
      </c>
      <c r="U125" s="222">
        <f t="shared" si="199"/>
        <v>0.13204439670605084</v>
      </c>
      <c r="V125" s="222">
        <f t="shared" si="200"/>
        <v>0.51350598719019758</v>
      </c>
      <c r="W125" s="222">
        <f t="shared" si="201"/>
        <v>0.45272364584931712</v>
      </c>
      <c r="X125" s="202">
        <f t="shared" si="202"/>
        <v>350</v>
      </c>
      <c r="Y125" s="453">
        <f t="shared" si="203"/>
        <v>350</v>
      </c>
      <c r="AA125" s="222">
        <f t="shared" si="204"/>
        <v>0.39045553145336231</v>
      </c>
      <c r="AB125" s="178">
        <f t="shared" si="205"/>
        <v>1.3387046792686708</v>
      </c>
      <c r="AC125" s="178">
        <f t="shared" si="206"/>
        <v>0.18294662645103313</v>
      </c>
      <c r="AD125" s="178"/>
      <c r="AE125" s="178">
        <f t="shared" si="207"/>
        <v>0.99428571428571422</v>
      </c>
      <c r="AF125" s="562">
        <f t="shared" si="208"/>
        <v>208.08561236623072</v>
      </c>
      <c r="AG125" s="545">
        <f t="shared" si="209"/>
        <v>0.10091999999999998</v>
      </c>
      <c r="AI125" s="178">
        <f t="shared" si="210"/>
        <v>0.22360679774997896</v>
      </c>
      <c r="AJ125" s="178">
        <f t="shared" si="211"/>
        <v>0.28999999999999998</v>
      </c>
      <c r="AK125" s="178">
        <f t="shared" si="212"/>
        <v>1.1189060642092747</v>
      </c>
      <c r="AM125" s="562">
        <f t="shared" si="213"/>
        <v>60</v>
      </c>
      <c r="AN125" s="471">
        <f t="shared" si="214"/>
        <v>208.08561236623072</v>
      </c>
      <c r="AP125" s="471">
        <f t="shared" si="215"/>
        <v>60</v>
      </c>
      <c r="AQ125" s="471">
        <f t="shared" si="216"/>
        <v>208.08561236623072</v>
      </c>
      <c r="AS125" s="5">
        <f t="shared" si="164"/>
        <v>4.8057142857142843</v>
      </c>
      <c r="AT125" s="5">
        <f t="shared" si="217"/>
        <v>1.1277777777777775</v>
      </c>
      <c r="AU125" s="5">
        <f t="shared" si="218"/>
        <v>3.6779365079365069</v>
      </c>
      <c r="AV125" s="5"/>
      <c r="AW125" s="178">
        <f t="shared" si="219"/>
        <v>0.23467432950191572</v>
      </c>
      <c r="AX125" s="178">
        <f t="shared" si="142"/>
        <v>0.73499999999999999</v>
      </c>
      <c r="AY125" s="178">
        <f t="shared" si="143"/>
        <v>0.22194444444444444</v>
      </c>
      <c r="AZ125" s="178">
        <f t="shared" si="167"/>
        <v>3.3116395494367961</v>
      </c>
      <c r="BD125" s="178">
        <f t="shared" si="168"/>
        <v>8.110920850127748E-2</v>
      </c>
      <c r="BE125" s="178">
        <f t="shared" si="146"/>
        <v>0.29294797920197113</v>
      </c>
      <c r="BG125" s="545">
        <f t="shared" si="220"/>
        <v>2.302546296296296E-3</v>
      </c>
      <c r="BH125" s="545">
        <f t="shared" si="221"/>
        <v>2.0864224137931039E-2</v>
      </c>
      <c r="BI125" s="545">
        <f t="shared" si="222"/>
        <v>2.6010701545778839E-3</v>
      </c>
      <c r="BJ125" s="545">
        <f t="shared" si="223"/>
        <v>2.2111281212841862E-2</v>
      </c>
      <c r="BK125">
        <f t="shared" si="224"/>
        <v>6.2640000000000005E-3</v>
      </c>
      <c r="BM125" s="471">
        <f t="shared" si="225"/>
        <v>54.143121801647077</v>
      </c>
      <c r="BN125" s="545">
        <f t="shared" si="226"/>
        <v>1.7999999999999999E-2</v>
      </c>
      <c r="BQ125" s="471">
        <f t="shared" si="227"/>
        <v>18</v>
      </c>
      <c r="BR125" s="545">
        <f t="shared" si="228"/>
        <v>6.2497685185185182E-4</v>
      </c>
      <c r="BS125" s="545">
        <f t="shared" si="229"/>
        <v>7.723666666666666E-3</v>
      </c>
      <c r="BT125" s="545">
        <f t="shared" si="230"/>
        <v>1.414393107490496E-3</v>
      </c>
      <c r="BU125" s="545"/>
      <c r="BV125" s="545">
        <f t="shared" si="231"/>
        <v>3.9375000000000009E-3</v>
      </c>
      <c r="BW125" s="471">
        <f t="shared" si="232"/>
        <v>13.700536626009015</v>
      </c>
      <c r="BX125" s="178">
        <f t="shared" si="233"/>
        <v>8.5843658427656094E-2</v>
      </c>
      <c r="BY125" s="5">
        <f t="shared" si="234"/>
        <v>0.72</v>
      </c>
      <c r="BZ125" s="178">
        <f t="shared" si="235"/>
        <v>0.89347355714735999</v>
      </c>
      <c r="CA125" s="5">
        <f t="shared" si="236"/>
        <v>89.347355714735997</v>
      </c>
      <c r="CD125" s="580">
        <f t="shared" si="237"/>
        <v>-50</v>
      </c>
      <c r="CE125">
        <f t="shared" si="238"/>
        <v>-50</v>
      </c>
    </row>
    <row r="126" spans="5:83" x14ac:dyDescent="0.2">
      <c r="E126" s="175">
        <v>16</v>
      </c>
      <c r="F126" s="222">
        <f t="shared" si="239"/>
        <v>6.4000000000000001E-2</v>
      </c>
      <c r="G126" s="222"/>
      <c r="H126" s="222">
        <f t="shared" si="190"/>
        <v>0.76800000000000002</v>
      </c>
      <c r="I126" s="558">
        <f t="shared" si="191"/>
        <v>21.6</v>
      </c>
      <c r="J126" s="453">
        <f t="shared" si="192"/>
        <v>24.5</v>
      </c>
      <c r="K126" s="453">
        <f t="shared" si="193"/>
        <v>46.1</v>
      </c>
      <c r="L126" s="453"/>
      <c r="M126" s="222">
        <f t="shared" si="194"/>
        <v>0.53145336225596529</v>
      </c>
      <c r="N126" s="177">
        <f t="shared" si="240"/>
        <v>7.9064316702819957</v>
      </c>
      <c r="O126" s="177">
        <f t="shared" si="162"/>
        <v>0.76800000000000002</v>
      </c>
      <c r="P126" s="222">
        <f t="shared" si="195"/>
        <v>0.65886930585683301</v>
      </c>
      <c r="Q126" s="222">
        <f t="shared" si="196"/>
        <v>12</v>
      </c>
      <c r="R126" s="222"/>
      <c r="S126" s="177">
        <f t="shared" si="197"/>
        <v>221.66529180463095</v>
      </c>
      <c r="T126" s="177">
        <f t="shared" si="198"/>
        <v>12</v>
      </c>
      <c r="U126" s="222">
        <f t="shared" si="199"/>
        <v>0.14084735648645422</v>
      </c>
      <c r="V126" s="222">
        <f t="shared" si="200"/>
        <v>0.54773971966954416</v>
      </c>
      <c r="W126" s="222">
        <f t="shared" si="201"/>
        <v>0.48290522223927163</v>
      </c>
      <c r="X126" s="202">
        <f t="shared" si="202"/>
        <v>350</v>
      </c>
      <c r="Y126" s="453">
        <f t="shared" si="203"/>
        <v>350</v>
      </c>
      <c r="AA126" s="222">
        <f t="shared" si="204"/>
        <v>0.39045553145336231</v>
      </c>
      <c r="AB126" s="178">
        <f t="shared" si="205"/>
        <v>1.3387046792686708</v>
      </c>
      <c r="AC126" s="178">
        <f t="shared" si="206"/>
        <v>0.18294662645103313</v>
      </c>
      <c r="AD126" s="178"/>
      <c r="AE126" s="178">
        <f t="shared" si="207"/>
        <v>0.99428571428571422</v>
      </c>
      <c r="AF126" s="562">
        <f t="shared" si="208"/>
        <v>221.95798652397946</v>
      </c>
      <c r="AG126" s="545">
        <f t="shared" si="209"/>
        <v>0.10091999999999998</v>
      </c>
      <c r="AI126" s="178">
        <f t="shared" si="210"/>
        <v>0.23094010767585033</v>
      </c>
      <c r="AJ126" s="178">
        <f t="shared" si="211"/>
        <v>0.28999999999999998</v>
      </c>
      <c r="AK126" s="178">
        <f t="shared" si="212"/>
        <v>1.1268331351565597</v>
      </c>
      <c r="AM126" s="562">
        <f t="shared" si="213"/>
        <v>64</v>
      </c>
      <c r="AN126" s="471">
        <f t="shared" si="214"/>
        <v>221.95798652397946</v>
      </c>
      <c r="AP126" s="471">
        <f t="shared" si="215"/>
        <v>64</v>
      </c>
      <c r="AQ126" s="471">
        <f t="shared" si="216"/>
        <v>221.95798652397946</v>
      </c>
      <c r="AS126" s="5">
        <f t="shared" si="164"/>
        <v>4.5053571428571413</v>
      </c>
      <c r="AT126" s="5">
        <f t="shared" si="217"/>
        <v>1.1277777777777775</v>
      </c>
      <c r="AU126" s="5">
        <f t="shared" si="218"/>
        <v>3.377579365079364</v>
      </c>
      <c r="AV126" s="5"/>
      <c r="AW126" s="178">
        <f t="shared" si="219"/>
        <v>0.25031928480204346</v>
      </c>
      <c r="AX126" s="178">
        <f t="shared" si="142"/>
        <v>0.78400000000000003</v>
      </c>
      <c r="AY126" s="178">
        <f t="shared" si="143"/>
        <v>0.21740740740740738</v>
      </c>
      <c r="AZ126" s="178">
        <f t="shared" si="167"/>
        <v>3.606132879045997</v>
      </c>
      <c r="BD126" s="178">
        <f t="shared" si="168"/>
        <v>8.3769230333203409E-2</v>
      </c>
      <c r="BE126" s="178">
        <f t="shared" si="146"/>
        <v>0.28993826503389336</v>
      </c>
      <c r="BG126" s="545">
        <f t="shared" si="220"/>
        <v>2.4560493827160499E-3</v>
      </c>
      <c r="BH126" s="545">
        <f t="shared" si="221"/>
        <v>2.2255172413793111E-2</v>
      </c>
      <c r="BI126" s="545">
        <f t="shared" si="222"/>
        <v>2.774474831549743E-3</v>
      </c>
      <c r="BJ126" s="545">
        <f t="shared" si="223"/>
        <v>2.3585366627031319E-2</v>
      </c>
      <c r="BK126">
        <f t="shared" si="224"/>
        <v>6.2640000000000005E-3</v>
      </c>
      <c r="BM126" s="471">
        <f t="shared" si="225"/>
        <v>57.335063255090226</v>
      </c>
      <c r="BN126" s="545">
        <f t="shared" si="226"/>
        <v>1.9199999999999998E-2</v>
      </c>
      <c r="BQ126" s="471">
        <f t="shared" si="227"/>
        <v>19.2</v>
      </c>
      <c r="BR126" s="545">
        <f t="shared" si="228"/>
        <v>6.6664197530864216E-4</v>
      </c>
      <c r="BS126" s="545">
        <f t="shared" si="229"/>
        <v>7.5657777777777772E-3</v>
      </c>
      <c r="BT126" s="545">
        <f t="shared" si="230"/>
        <v>1.6620417935136254E-3</v>
      </c>
      <c r="BU126" s="545"/>
      <c r="BV126" s="545">
        <f t="shared" si="231"/>
        <v>4.2000000000000015E-3</v>
      </c>
      <c r="BW126" s="471">
        <f t="shared" si="232"/>
        <v>14.094461546600046</v>
      </c>
      <c r="BX126" s="178">
        <f t="shared" si="233"/>
        <v>9.0629524801690273E-2</v>
      </c>
      <c r="BY126" s="5">
        <f t="shared" si="234"/>
        <v>0.76800000000000002</v>
      </c>
      <c r="BZ126" s="178">
        <f t="shared" si="235"/>
        <v>0.89444862751182219</v>
      </c>
      <c r="CA126" s="5">
        <f t="shared" si="236"/>
        <v>89.444862751182214</v>
      </c>
      <c r="CD126" s="580">
        <f t="shared" si="237"/>
        <v>-50</v>
      </c>
      <c r="CE126">
        <f t="shared" si="238"/>
        <v>-50</v>
      </c>
    </row>
    <row r="127" spans="5:83" x14ac:dyDescent="0.2">
      <c r="E127" s="175">
        <v>17</v>
      </c>
      <c r="F127" s="222">
        <f t="shared" si="239"/>
        <v>6.8000000000000005E-2</v>
      </c>
      <c r="G127" s="222"/>
      <c r="H127" s="222">
        <f t="shared" si="190"/>
        <v>0.81600000000000006</v>
      </c>
      <c r="I127" s="558">
        <f t="shared" si="191"/>
        <v>21.6</v>
      </c>
      <c r="J127" s="453">
        <f t="shared" si="192"/>
        <v>24.5</v>
      </c>
      <c r="K127" s="453">
        <f t="shared" si="193"/>
        <v>46.1</v>
      </c>
      <c r="L127" s="453"/>
      <c r="M127" s="222">
        <f t="shared" si="194"/>
        <v>0.53145336225596529</v>
      </c>
      <c r="N127" s="177">
        <f t="shared" si="240"/>
        <v>7.9064316702819957</v>
      </c>
      <c r="O127" s="177">
        <f t="shared" si="162"/>
        <v>0.81600000000000006</v>
      </c>
      <c r="P127" s="222">
        <f t="shared" si="195"/>
        <v>0.65886930585683301</v>
      </c>
      <c r="Q127" s="222">
        <f t="shared" si="196"/>
        <v>12</v>
      </c>
      <c r="R127" s="222"/>
      <c r="S127" s="177">
        <f t="shared" si="197"/>
        <v>207.99237742536235</v>
      </c>
      <c r="T127" s="177">
        <f t="shared" si="198"/>
        <v>12</v>
      </c>
      <c r="U127" s="222">
        <f t="shared" si="199"/>
        <v>0.14965031626685762</v>
      </c>
      <c r="V127" s="222">
        <f t="shared" si="200"/>
        <v>0.58197345214889074</v>
      </c>
      <c r="W127" s="222">
        <f t="shared" si="201"/>
        <v>0.51308679862922613</v>
      </c>
      <c r="X127" s="202">
        <f t="shared" si="202"/>
        <v>350</v>
      </c>
      <c r="Y127" s="453">
        <f t="shared" si="203"/>
        <v>350</v>
      </c>
      <c r="AA127" s="222">
        <f t="shared" si="204"/>
        <v>0.39045553145336231</v>
      </c>
      <c r="AB127" s="178">
        <f t="shared" si="205"/>
        <v>1.3387046792686708</v>
      </c>
      <c r="AC127" s="178">
        <f t="shared" si="206"/>
        <v>0.18294662645103313</v>
      </c>
      <c r="AD127" s="178"/>
      <c r="AE127" s="178">
        <f t="shared" si="207"/>
        <v>0.99428571428571422</v>
      </c>
      <c r="AF127" s="562">
        <f t="shared" si="208"/>
        <v>235.83036068172817</v>
      </c>
      <c r="AG127" s="545">
        <f t="shared" si="209"/>
        <v>0.10091999999999998</v>
      </c>
      <c r="AI127" s="178">
        <f t="shared" si="210"/>
        <v>0.23804761428476168</v>
      </c>
      <c r="AJ127" s="178">
        <f t="shared" si="211"/>
        <v>0.28999999999999998</v>
      </c>
      <c r="AK127" s="178">
        <f t="shared" si="212"/>
        <v>1.1347602061038446</v>
      </c>
      <c r="AM127" s="562">
        <f t="shared" si="213"/>
        <v>68</v>
      </c>
      <c r="AN127" s="471">
        <f t="shared" si="214"/>
        <v>235.83036068172817</v>
      </c>
      <c r="AP127" s="471">
        <f t="shared" si="215"/>
        <v>68</v>
      </c>
      <c r="AQ127" s="471">
        <f t="shared" si="216"/>
        <v>235.83036068172817</v>
      </c>
      <c r="AS127" s="5">
        <f t="shared" si="164"/>
        <v>4.2403361344537807</v>
      </c>
      <c r="AT127" s="5">
        <f t="shared" si="217"/>
        <v>1.1277777777777775</v>
      </c>
      <c r="AU127" s="5">
        <f t="shared" si="218"/>
        <v>3.1125583566760033</v>
      </c>
      <c r="AV127" s="5"/>
      <c r="AW127" s="178">
        <f t="shared" si="219"/>
        <v>0.26596424010217112</v>
      </c>
      <c r="AX127" s="178">
        <f t="shared" si="142"/>
        <v>0.83300000000000007</v>
      </c>
      <c r="AY127" s="178">
        <f t="shared" si="143"/>
        <v>0.21287037037037035</v>
      </c>
      <c r="AZ127" s="178">
        <f t="shared" si="167"/>
        <v>3.9131796433231849</v>
      </c>
      <c r="BD127" s="178">
        <f t="shared" si="168"/>
        <v>8.6347346210123105E-2</v>
      </c>
      <c r="BE127" s="178">
        <f t="shared" si="146"/>
        <v>0.28689697897191224</v>
      </c>
      <c r="BG127" s="545">
        <f t="shared" si="220"/>
        <v>2.6095524691358012E-3</v>
      </c>
      <c r="BH127" s="545">
        <f t="shared" si="221"/>
        <v>2.3646120689655176E-2</v>
      </c>
      <c r="BI127" s="545">
        <f t="shared" si="222"/>
        <v>2.947879508521602E-3</v>
      </c>
      <c r="BJ127" s="545">
        <f t="shared" si="223"/>
        <v>2.5059452041220776E-2</v>
      </c>
      <c r="BK127">
        <f t="shared" si="224"/>
        <v>6.2640000000000005E-3</v>
      </c>
      <c r="BM127" s="471">
        <f t="shared" si="225"/>
        <v>60.527004708533362</v>
      </c>
      <c r="BN127" s="545">
        <f t="shared" si="226"/>
        <v>2.0400000000000001E-2</v>
      </c>
      <c r="BQ127" s="471">
        <f t="shared" si="227"/>
        <v>20.400000000000002</v>
      </c>
      <c r="BR127" s="545">
        <f t="shared" si="228"/>
        <v>7.0830709876543185E-4</v>
      </c>
      <c r="BS127" s="545">
        <f t="shared" si="229"/>
        <v>7.4078888888888866E-3</v>
      </c>
      <c r="BT127" s="545">
        <f t="shared" si="230"/>
        <v>1.9340348125947123E-3</v>
      </c>
      <c r="BU127" s="545"/>
      <c r="BV127" s="545">
        <f t="shared" si="231"/>
        <v>4.4625000000000012E-3</v>
      </c>
      <c r="BW127" s="471">
        <f t="shared" si="232"/>
        <v>14.512730800249031</v>
      </c>
      <c r="BX127" s="178">
        <f t="shared" si="233"/>
        <v>9.5439735508782403E-2</v>
      </c>
      <c r="BY127" s="5">
        <f t="shared" si="234"/>
        <v>0.81600000000000006</v>
      </c>
      <c r="BZ127" s="178">
        <f t="shared" si="235"/>
        <v>0.89528683928235131</v>
      </c>
      <c r="CA127" s="5">
        <f t="shared" si="236"/>
        <v>89.528683928235125</v>
      </c>
      <c r="CD127" s="580">
        <f t="shared" si="237"/>
        <v>-50</v>
      </c>
      <c r="CE127">
        <f t="shared" si="238"/>
        <v>-50</v>
      </c>
    </row>
    <row r="128" spans="5:83" x14ac:dyDescent="0.2">
      <c r="E128" s="175">
        <v>18</v>
      </c>
      <c r="F128" s="222">
        <f t="shared" si="239"/>
        <v>7.1999999999999995E-2</v>
      </c>
      <c r="G128" s="222"/>
      <c r="H128" s="222">
        <f t="shared" si="190"/>
        <v>0.86399999999999988</v>
      </c>
      <c r="I128" s="558">
        <f t="shared" si="191"/>
        <v>21.6</v>
      </c>
      <c r="J128" s="453">
        <f t="shared" si="192"/>
        <v>24.5</v>
      </c>
      <c r="K128" s="453">
        <f t="shared" si="193"/>
        <v>46.1</v>
      </c>
      <c r="L128" s="453"/>
      <c r="M128" s="222">
        <f t="shared" si="194"/>
        <v>0.53145336225596529</v>
      </c>
      <c r="N128" s="177">
        <f t="shared" si="240"/>
        <v>7.9064316702819957</v>
      </c>
      <c r="O128" s="177">
        <f t="shared" si="162"/>
        <v>0.86399999999999988</v>
      </c>
      <c r="P128" s="222">
        <f t="shared" si="195"/>
        <v>0.65886930585683301</v>
      </c>
      <c r="Q128" s="222">
        <f t="shared" si="196"/>
        <v>12</v>
      </c>
      <c r="R128" s="222"/>
      <c r="S128" s="177">
        <f t="shared" si="197"/>
        <v>195.8387692740385</v>
      </c>
      <c r="T128" s="177">
        <f t="shared" si="198"/>
        <v>12</v>
      </c>
      <c r="U128" s="222">
        <f t="shared" si="199"/>
        <v>0.15845327604726098</v>
      </c>
      <c r="V128" s="222">
        <f t="shared" si="200"/>
        <v>0.61620718462823709</v>
      </c>
      <c r="W128" s="222">
        <f t="shared" si="201"/>
        <v>0.54326837501918046</v>
      </c>
      <c r="X128" s="202">
        <f t="shared" si="202"/>
        <v>350</v>
      </c>
      <c r="Y128" s="453">
        <f t="shared" si="203"/>
        <v>350</v>
      </c>
      <c r="AA128" s="222">
        <f t="shared" si="204"/>
        <v>0.39045553145336231</v>
      </c>
      <c r="AB128" s="178">
        <f t="shared" si="205"/>
        <v>1.3387046792686708</v>
      </c>
      <c r="AC128" s="178">
        <f t="shared" si="206"/>
        <v>0.18294662645103313</v>
      </c>
      <c r="AD128" s="178"/>
      <c r="AE128" s="178">
        <f t="shared" si="207"/>
        <v>0.99428571428571422</v>
      </c>
      <c r="AF128" s="562">
        <f t="shared" si="208"/>
        <v>249.70273483947685</v>
      </c>
      <c r="AG128" s="545">
        <f t="shared" si="209"/>
        <v>0.10091999999999998</v>
      </c>
      <c r="AI128" s="178">
        <f t="shared" si="210"/>
        <v>0.2449489742783178</v>
      </c>
      <c r="AJ128" s="178">
        <f t="shared" si="211"/>
        <v>0.28999999999999998</v>
      </c>
      <c r="AK128" s="178">
        <f t="shared" si="212"/>
        <v>1.1426872770511296</v>
      </c>
      <c r="AM128" s="562">
        <f t="shared" si="213"/>
        <v>72</v>
      </c>
      <c r="AN128" s="471">
        <f t="shared" si="214"/>
        <v>249.70273483947685</v>
      </c>
      <c r="AP128" s="471">
        <f t="shared" si="215"/>
        <v>72</v>
      </c>
      <c r="AQ128" s="471">
        <f t="shared" si="216"/>
        <v>249.70273483947685</v>
      </c>
      <c r="AS128" s="5">
        <f t="shared" si="164"/>
        <v>4.0047619047619039</v>
      </c>
      <c r="AT128" s="5">
        <f t="shared" si="217"/>
        <v>1.1277777777777775</v>
      </c>
      <c r="AU128" s="5">
        <f t="shared" si="218"/>
        <v>2.8769841269841265</v>
      </c>
      <c r="AV128" s="5"/>
      <c r="AW128" s="178">
        <f t="shared" si="219"/>
        <v>0.28160919540229884</v>
      </c>
      <c r="AX128" s="178">
        <f t="shared" si="142"/>
        <v>0.88200000000000001</v>
      </c>
      <c r="AY128" s="178">
        <f t="shared" si="143"/>
        <v>0.20833333333333334</v>
      </c>
      <c r="AZ128" s="178">
        <f t="shared" si="167"/>
        <v>4.2336</v>
      </c>
      <c r="BD128" s="178">
        <f t="shared" si="168"/>
        <v>8.8850686235078927E-2</v>
      </c>
      <c r="BE128" s="178">
        <f t="shared" si="146"/>
        <v>0.28382310609877331</v>
      </c>
      <c r="BG128" s="545">
        <f t="shared" si="220"/>
        <v>2.7630555555555551E-3</v>
      </c>
      <c r="BH128" s="545">
        <f t="shared" si="221"/>
        <v>2.5037068965517242E-2</v>
      </c>
      <c r="BI128" s="545">
        <f t="shared" si="222"/>
        <v>3.1212841854934602E-3</v>
      </c>
      <c r="BJ128" s="545">
        <f t="shared" si="223"/>
        <v>2.653353745541023E-2</v>
      </c>
      <c r="BK128">
        <f t="shared" si="224"/>
        <v>6.2640000000000005E-3</v>
      </c>
      <c r="BM128" s="471">
        <f t="shared" si="225"/>
        <v>63.71894616197649</v>
      </c>
      <c r="BN128" s="545">
        <f t="shared" si="226"/>
        <v>2.1599999999999998E-2</v>
      </c>
      <c r="BQ128" s="471">
        <f t="shared" si="227"/>
        <v>21.599999999999998</v>
      </c>
      <c r="BR128" s="545">
        <f t="shared" si="228"/>
        <v>7.4997222222222219E-4</v>
      </c>
      <c r="BS128" s="545">
        <f t="shared" si="229"/>
        <v>7.2499999999999978E-3</v>
      </c>
      <c r="BT128" s="545">
        <f t="shared" si="230"/>
        <v>2.2311216292388381E-3</v>
      </c>
      <c r="BU128" s="545"/>
      <c r="BV128" s="545">
        <f t="shared" si="231"/>
        <v>4.7250000000000009E-3</v>
      </c>
      <c r="BW128" s="471">
        <f t="shared" si="232"/>
        <v>14.956093851461057</v>
      </c>
      <c r="BX128" s="178">
        <f t="shared" si="233"/>
        <v>0.10027504001343755</v>
      </c>
      <c r="BY128" s="5">
        <f t="shared" si="234"/>
        <v>0.86399999999999988</v>
      </c>
      <c r="BZ128" s="178">
        <f t="shared" si="235"/>
        <v>0.89600991848545597</v>
      </c>
      <c r="CA128" s="5">
        <f t="shared" si="236"/>
        <v>89.60099184854559</v>
      </c>
      <c r="CD128" s="580">
        <f t="shared" si="237"/>
        <v>-50</v>
      </c>
      <c r="CE128">
        <f t="shared" si="238"/>
        <v>-50</v>
      </c>
    </row>
    <row r="129" spans="5:83" x14ac:dyDescent="0.2">
      <c r="E129" s="175">
        <v>19</v>
      </c>
      <c r="F129" s="222">
        <f t="shared" si="239"/>
        <v>7.6000000000000012E-2</v>
      </c>
      <c r="G129" s="222"/>
      <c r="H129" s="222">
        <f t="shared" si="190"/>
        <v>0.91200000000000014</v>
      </c>
      <c r="I129" s="558">
        <f t="shared" si="191"/>
        <v>21.6</v>
      </c>
      <c r="J129" s="453">
        <f t="shared" si="192"/>
        <v>24.5</v>
      </c>
      <c r="K129" s="453">
        <f t="shared" si="193"/>
        <v>46.1</v>
      </c>
      <c r="L129" s="453"/>
      <c r="M129" s="222">
        <f t="shared" si="194"/>
        <v>0.53145336225596529</v>
      </c>
      <c r="N129" s="177">
        <f t="shared" si="240"/>
        <v>7.9064316702819957</v>
      </c>
      <c r="O129" s="177">
        <f t="shared" si="162"/>
        <v>0.91200000000000014</v>
      </c>
      <c r="P129" s="222">
        <f t="shared" si="195"/>
        <v>0.65886930585683301</v>
      </c>
      <c r="Q129" s="222">
        <f t="shared" si="196"/>
        <v>12</v>
      </c>
      <c r="R129" s="222"/>
      <c r="S129" s="177">
        <f t="shared" si="197"/>
        <v>184.96457768623679</v>
      </c>
      <c r="T129" s="177">
        <f t="shared" si="198"/>
        <v>12</v>
      </c>
      <c r="U129" s="222">
        <f t="shared" si="199"/>
        <v>0.16725623582766441</v>
      </c>
      <c r="V129" s="222">
        <f t="shared" si="200"/>
        <v>0.65044091710758378</v>
      </c>
      <c r="W129" s="222">
        <f t="shared" si="201"/>
        <v>0.57344995140913513</v>
      </c>
      <c r="X129" s="202">
        <f t="shared" si="202"/>
        <v>350</v>
      </c>
      <c r="Y129" s="453">
        <f t="shared" si="203"/>
        <v>350</v>
      </c>
      <c r="AA129" s="222">
        <f t="shared" si="204"/>
        <v>0.39045553145336231</v>
      </c>
      <c r="AB129" s="178">
        <f t="shared" si="205"/>
        <v>1.3387046792686708</v>
      </c>
      <c r="AC129" s="178">
        <f t="shared" si="206"/>
        <v>0.18294662645103313</v>
      </c>
      <c r="AD129" s="178"/>
      <c r="AE129" s="178">
        <f t="shared" si="207"/>
        <v>0.99428571428571422</v>
      </c>
      <c r="AF129" s="562">
        <f t="shared" si="208"/>
        <v>263.57510899722564</v>
      </c>
      <c r="AG129" s="545">
        <f t="shared" si="209"/>
        <v>0.10091999999999998</v>
      </c>
      <c r="AI129" s="178">
        <f t="shared" si="210"/>
        <v>0.25166114784235838</v>
      </c>
      <c r="AJ129" s="178">
        <f t="shared" si="211"/>
        <v>0.28999999999999998</v>
      </c>
      <c r="AK129" s="178">
        <f t="shared" si="212"/>
        <v>1.1506143479984146</v>
      </c>
      <c r="AM129" s="562">
        <f t="shared" si="213"/>
        <v>76.000000000000014</v>
      </c>
      <c r="AN129" s="471">
        <f t="shared" si="214"/>
        <v>263.57510899722564</v>
      </c>
      <c r="AP129" s="471">
        <f t="shared" si="215"/>
        <v>76.000000000000014</v>
      </c>
      <c r="AQ129" s="471">
        <f t="shared" si="216"/>
        <v>263.57510899722564</v>
      </c>
      <c r="AS129" s="5">
        <f t="shared" si="164"/>
        <v>3.7939849624060131</v>
      </c>
      <c r="AT129" s="5">
        <f t="shared" si="217"/>
        <v>1.1277777777777775</v>
      </c>
      <c r="AU129" s="5">
        <f t="shared" si="218"/>
        <v>2.6662071846282354</v>
      </c>
      <c r="AV129" s="5"/>
      <c r="AW129" s="178">
        <f t="shared" si="219"/>
        <v>0.29725415070242667</v>
      </c>
      <c r="AX129" s="178">
        <f t="shared" si="142"/>
        <v>0.93100000000000027</v>
      </c>
      <c r="AY129" s="178">
        <f t="shared" si="143"/>
        <v>0.20379629629629625</v>
      </c>
      <c r="AZ129" s="178">
        <f t="shared" si="167"/>
        <v>4.5682871422080895</v>
      </c>
      <c r="BD129" s="178">
        <f t="shared" si="168"/>
        <v>9.1285402400153925E-2</v>
      </c>
      <c r="BE129" s="178">
        <f t="shared" si="146"/>
        <v>0.28071557592677543</v>
      </c>
      <c r="BG129" s="545">
        <f t="shared" si="220"/>
        <v>2.9165586419753094E-3</v>
      </c>
      <c r="BH129" s="545">
        <f t="shared" si="221"/>
        <v>2.6428017241379321E-2</v>
      </c>
      <c r="BI129" s="545">
        <f t="shared" si="222"/>
        <v>3.2946888624653206E-3</v>
      </c>
      <c r="BJ129" s="545">
        <f t="shared" si="223"/>
        <v>2.8007622869599697E-2</v>
      </c>
      <c r="BK129">
        <f t="shared" si="224"/>
        <v>6.2640000000000005E-3</v>
      </c>
      <c r="BM129" s="471">
        <f t="shared" si="225"/>
        <v>66.910887615419654</v>
      </c>
      <c r="BN129" s="545">
        <f t="shared" si="226"/>
        <v>2.2800000000000004E-2</v>
      </c>
      <c r="BQ129" s="471">
        <f t="shared" si="227"/>
        <v>22.800000000000004</v>
      </c>
      <c r="BR129" s="545">
        <f t="shared" si="228"/>
        <v>7.9163734567901263E-4</v>
      </c>
      <c r="BS129" s="545">
        <f t="shared" si="229"/>
        <v>7.0921111111111098E-3</v>
      </c>
      <c r="BT129" s="545">
        <f t="shared" si="230"/>
        <v>2.5540299518066224E-3</v>
      </c>
      <c r="BU129" s="545"/>
      <c r="BV129" s="545">
        <f t="shared" si="231"/>
        <v>4.9875000000000015E-3</v>
      </c>
      <c r="BW129" s="471">
        <f t="shared" si="232"/>
        <v>15.425278408596748</v>
      </c>
      <c r="BX129" s="178">
        <f t="shared" si="233"/>
        <v>0.10513616602401639</v>
      </c>
      <c r="BY129" s="5">
        <f t="shared" si="234"/>
        <v>0.91200000000000014</v>
      </c>
      <c r="BZ129" s="178">
        <f t="shared" si="235"/>
        <v>0.89663511186020106</v>
      </c>
      <c r="CA129" s="5">
        <f t="shared" si="236"/>
        <v>89.663511186020102</v>
      </c>
      <c r="CD129" s="580">
        <f t="shared" si="237"/>
        <v>-50</v>
      </c>
      <c r="CE129">
        <f t="shared" si="238"/>
        <v>-50</v>
      </c>
    </row>
    <row r="130" spans="5:83" x14ac:dyDescent="0.2">
      <c r="E130" s="175">
        <v>20</v>
      </c>
      <c r="F130" s="222">
        <f t="shared" si="239"/>
        <v>8.0000000000000016E-2</v>
      </c>
      <c r="G130" s="222"/>
      <c r="H130" s="222">
        <f t="shared" si="190"/>
        <v>0.96000000000000019</v>
      </c>
      <c r="I130" s="558">
        <f t="shared" si="191"/>
        <v>21.6</v>
      </c>
      <c r="J130" s="453">
        <f t="shared" si="192"/>
        <v>24.5</v>
      </c>
      <c r="K130" s="453">
        <f t="shared" si="193"/>
        <v>46.1</v>
      </c>
      <c r="L130" s="453"/>
      <c r="M130" s="222">
        <f t="shared" si="194"/>
        <v>0.53145336225596529</v>
      </c>
      <c r="N130" s="177">
        <f t="shared" si="240"/>
        <v>7.9064316702819957</v>
      </c>
      <c r="O130" s="177">
        <f t="shared" si="162"/>
        <v>0.96000000000000019</v>
      </c>
      <c r="P130" s="222">
        <f t="shared" si="195"/>
        <v>0.65886930585683301</v>
      </c>
      <c r="Q130" s="222">
        <f t="shared" si="196"/>
        <v>12</v>
      </c>
      <c r="R130" s="222"/>
      <c r="S130" s="177">
        <f t="shared" si="197"/>
        <v>175.1778909391804</v>
      </c>
      <c r="T130" s="177">
        <f t="shared" si="198"/>
        <v>12</v>
      </c>
      <c r="U130" s="222">
        <f t="shared" si="199"/>
        <v>0.17605919560806782</v>
      </c>
      <c r="V130" s="222">
        <f t="shared" si="200"/>
        <v>0.68467464958693036</v>
      </c>
      <c r="W130" s="222">
        <f t="shared" si="201"/>
        <v>0.60363152779908968</v>
      </c>
      <c r="X130" s="202">
        <f t="shared" si="202"/>
        <v>350</v>
      </c>
      <c r="Y130" s="453">
        <f t="shared" si="203"/>
        <v>350</v>
      </c>
      <c r="AA130" s="222">
        <f t="shared" si="204"/>
        <v>0.39045553145336231</v>
      </c>
      <c r="AB130" s="178">
        <f t="shared" si="205"/>
        <v>1.3387046792686708</v>
      </c>
      <c r="AC130" s="178">
        <f t="shared" si="206"/>
        <v>0.18294662645103313</v>
      </c>
      <c r="AD130" s="178"/>
      <c r="AE130" s="178">
        <f t="shared" si="207"/>
        <v>0.99428571428571422</v>
      </c>
      <c r="AF130" s="562">
        <f t="shared" si="208"/>
        <v>277.44748315497435</v>
      </c>
      <c r="AG130" s="545">
        <f t="shared" si="209"/>
        <v>0.10091999999999998</v>
      </c>
      <c r="AI130" s="178">
        <f t="shared" si="210"/>
        <v>0.25819888974716115</v>
      </c>
      <c r="AJ130" s="178">
        <f t="shared" si="211"/>
        <v>0.28999999999999998</v>
      </c>
      <c r="AK130" s="178">
        <f t="shared" si="212"/>
        <v>1.1585414189456995</v>
      </c>
      <c r="AM130" s="562">
        <f t="shared" si="213"/>
        <v>80.000000000000014</v>
      </c>
      <c r="AN130" s="471">
        <f t="shared" si="214"/>
        <v>277.44748315497435</v>
      </c>
      <c r="AP130" s="471">
        <f t="shared" si="215"/>
        <v>80.000000000000014</v>
      </c>
      <c r="AQ130" s="471">
        <f t="shared" si="216"/>
        <v>277.44748315497435</v>
      </c>
      <c r="AS130" s="5">
        <f t="shared" si="164"/>
        <v>3.6042857142857128</v>
      </c>
      <c r="AT130" s="5">
        <f t="shared" si="217"/>
        <v>1.1277777777777775</v>
      </c>
      <c r="AU130" s="5">
        <f t="shared" si="218"/>
        <v>2.476507936507935</v>
      </c>
      <c r="AV130" s="5"/>
      <c r="AW130" s="178">
        <f t="shared" si="219"/>
        <v>0.31289910600255433</v>
      </c>
      <c r="AX130" s="178">
        <f t="shared" si="142"/>
        <v>0.9800000000000002</v>
      </c>
      <c r="AY130" s="178">
        <f t="shared" si="143"/>
        <v>0.19925925925925922</v>
      </c>
      <c r="AZ130" s="178">
        <f t="shared" si="167"/>
        <v>4.9182156133829018</v>
      </c>
      <c r="BD130" s="178">
        <f t="shared" si="168"/>
        <v>9.3656846723940076E-2</v>
      </c>
      <c r="BE130" s="178">
        <f t="shared" si="146"/>
        <v>0.27757325804235339</v>
      </c>
      <c r="BG130" s="545">
        <f t="shared" si="220"/>
        <v>3.0700617283950615E-3</v>
      </c>
      <c r="BH130" s="545">
        <f t="shared" si="221"/>
        <v>2.7818965517241386E-2</v>
      </c>
      <c r="BI130" s="545">
        <f t="shared" si="222"/>
        <v>3.4680935394371792E-3</v>
      </c>
      <c r="BJ130" s="545">
        <f t="shared" si="223"/>
        <v>2.9481708283789151E-2</v>
      </c>
      <c r="BK130">
        <f t="shared" si="224"/>
        <v>6.2640000000000005E-3</v>
      </c>
      <c r="BM130" s="471">
        <f t="shared" si="225"/>
        <v>70.102829068862775</v>
      </c>
      <c r="BN130" s="545">
        <f t="shared" si="226"/>
        <v>2.4000000000000004E-2</v>
      </c>
      <c r="BQ130" s="471">
        <f t="shared" si="227"/>
        <v>24.000000000000004</v>
      </c>
      <c r="BR130" s="545">
        <f t="shared" si="228"/>
        <v>8.3330246913580254E-4</v>
      </c>
      <c r="BS130" s="545">
        <f t="shared" si="229"/>
        <v>6.934222222222221E-3</v>
      </c>
      <c r="BT130" s="545">
        <f t="shared" si="230"/>
        <v>2.9034675247985474E-3</v>
      </c>
      <c r="BU130" s="545"/>
      <c r="BV130" s="545">
        <f t="shared" si="231"/>
        <v>5.2500000000000021E-3</v>
      </c>
      <c r="BW130" s="471">
        <f t="shared" si="232"/>
        <v>15.920992216156574</v>
      </c>
      <c r="BX130" s="178">
        <f t="shared" si="233"/>
        <v>0.11002382128501936</v>
      </c>
      <c r="BY130" s="5">
        <f t="shared" si="234"/>
        <v>0.96000000000000019</v>
      </c>
      <c r="BZ130" s="178">
        <f t="shared" si="235"/>
        <v>0.89717628795133852</v>
      </c>
      <c r="CA130" s="5">
        <f t="shared" si="236"/>
        <v>89.717628795133848</v>
      </c>
      <c r="CD130" s="580">
        <f t="shared" si="237"/>
        <v>-50</v>
      </c>
      <c r="CE130">
        <f t="shared" si="238"/>
        <v>-50</v>
      </c>
    </row>
    <row r="131" spans="5:83" x14ac:dyDescent="0.2">
      <c r="E131" s="175">
        <v>21</v>
      </c>
      <c r="F131" s="222">
        <f t="shared" si="239"/>
        <v>8.4000000000000005E-2</v>
      </c>
      <c r="G131" s="222"/>
      <c r="H131" s="222">
        <f t="shared" si="190"/>
        <v>1.008</v>
      </c>
      <c r="I131" s="558">
        <f t="shared" si="191"/>
        <v>21.6</v>
      </c>
      <c r="J131" s="453">
        <f t="shared" si="192"/>
        <v>24.5</v>
      </c>
      <c r="K131" s="453">
        <f t="shared" si="193"/>
        <v>46.1</v>
      </c>
      <c r="L131" s="453"/>
      <c r="M131" s="222">
        <f t="shared" si="194"/>
        <v>0.53145336225596529</v>
      </c>
      <c r="N131" s="177">
        <f t="shared" si="240"/>
        <v>7.9064316702819957</v>
      </c>
      <c r="O131" s="177">
        <f t="shared" si="162"/>
        <v>1.008</v>
      </c>
      <c r="P131" s="222">
        <f t="shared" si="195"/>
        <v>0.65886930585683301</v>
      </c>
      <c r="Q131" s="222">
        <f t="shared" si="196"/>
        <v>12</v>
      </c>
      <c r="R131" s="222"/>
      <c r="S131" s="177">
        <f t="shared" si="197"/>
        <v>166.32335193241616</v>
      </c>
      <c r="T131" s="177">
        <f t="shared" si="198"/>
        <v>12</v>
      </c>
      <c r="U131" s="222">
        <f t="shared" si="199"/>
        <v>0.18486215538847117</v>
      </c>
      <c r="V131" s="222">
        <f t="shared" si="200"/>
        <v>0.71890838206627661</v>
      </c>
      <c r="W131" s="222">
        <f t="shared" si="201"/>
        <v>0.63381310418904391</v>
      </c>
      <c r="X131" s="202">
        <f t="shared" si="202"/>
        <v>350</v>
      </c>
      <c r="Y131" s="453">
        <f t="shared" si="203"/>
        <v>350</v>
      </c>
      <c r="AA131" s="222">
        <f t="shared" si="204"/>
        <v>0.39045553145336231</v>
      </c>
      <c r="AB131" s="178">
        <f t="shared" si="205"/>
        <v>1.3387046792686708</v>
      </c>
      <c r="AC131" s="178">
        <f t="shared" si="206"/>
        <v>0.18294662645103313</v>
      </c>
      <c r="AD131" s="178"/>
      <c r="AE131" s="178">
        <f t="shared" si="207"/>
        <v>0.99428571428571422</v>
      </c>
      <c r="AF131" s="562">
        <f t="shared" si="208"/>
        <v>291.31985731272306</v>
      </c>
      <c r="AG131" s="545">
        <f t="shared" si="209"/>
        <v>0.10091999999999998</v>
      </c>
      <c r="AI131" s="178">
        <f t="shared" si="210"/>
        <v>0.26457513110645908</v>
      </c>
      <c r="AJ131" s="178">
        <f t="shared" si="211"/>
        <v>0.28999999999999998</v>
      </c>
      <c r="AK131" s="178">
        <f t="shared" si="212"/>
        <v>1.1664684898929847</v>
      </c>
      <c r="AM131" s="562">
        <f t="shared" si="213"/>
        <v>84</v>
      </c>
      <c r="AN131" s="471">
        <f t="shared" si="214"/>
        <v>291.31985731272306</v>
      </c>
      <c r="AP131" s="471">
        <f t="shared" si="215"/>
        <v>84</v>
      </c>
      <c r="AQ131" s="471">
        <f t="shared" si="216"/>
        <v>291.31985731272306</v>
      </c>
      <c r="AS131" s="5">
        <f t="shared" si="164"/>
        <v>3.4326530612244883</v>
      </c>
      <c r="AT131" s="5">
        <f t="shared" si="217"/>
        <v>1.1277777777777775</v>
      </c>
      <c r="AU131" s="5">
        <f t="shared" si="218"/>
        <v>2.3048752834467106</v>
      </c>
      <c r="AV131" s="5"/>
      <c r="AW131" s="178">
        <f t="shared" si="219"/>
        <v>0.32854406130268204</v>
      </c>
      <c r="AX131" s="178">
        <f t="shared" si="142"/>
        <v>1.0290000000000001</v>
      </c>
      <c r="AY131" s="178">
        <f t="shared" si="143"/>
        <v>0.19472222222222221</v>
      </c>
      <c r="AZ131" s="178">
        <f t="shared" si="167"/>
        <v>5.2844507845934388</v>
      </c>
      <c r="BD131" s="178">
        <f t="shared" si="168"/>
        <v>9.5969709727523861E-2</v>
      </c>
      <c r="BE131" s="178">
        <f t="shared" si="146"/>
        <v>0.27439495730168323</v>
      </c>
      <c r="BG131" s="545">
        <f t="shared" si="220"/>
        <v>3.2235648148148154E-3</v>
      </c>
      <c r="BH131" s="545">
        <f t="shared" si="221"/>
        <v>2.9209913793103455E-2</v>
      </c>
      <c r="BI131" s="545">
        <f t="shared" si="222"/>
        <v>3.6414982164090382E-3</v>
      </c>
      <c r="BJ131" s="545">
        <f t="shared" si="223"/>
        <v>3.0955793697978608E-2</v>
      </c>
      <c r="BK131">
        <f t="shared" si="224"/>
        <v>6.2640000000000005E-3</v>
      </c>
      <c r="BM131" s="471">
        <f t="shared" si="225"/>
        <v>73.29477052230591</v>
      </c>
      <c r="BN131" s="545">
        <f t="shared" si="226"/>
        <v>2.52E-2</v>
      </c>
      <c r="BQ131" s="471">
        <f t="shared" si="227"/>
        <v>25.2</v>
      </c>
      <c r="BR131" s="545">
        <f t="shared" si="228"/>
        <v>8.7496759259259288E-4</v>
      </c>
      <c r="BS131" s="545">
        <f t="shared" si="229"/>
        <v>6.7763333333333304E-3</v>
      </c>
      <c r="BT131" s="545">
        <f t="shared" si="230"/>
        <v>3.280123687683345E-3</v>
      </c>
      <c r="BU131" s="545"/>
      <c r="BV131" s="545">
        <f t="shared" si="231"/>
        <v>5.5125000000000018E-3</v>
      </c>
      <c r="BW131" s="471">
        <f t="shared" si="232"/>
        <v>16.443924613609269</v>
      </c>
      <c r="BX131" s="178">
        <f t="shared" si="233"/>
        <v>0.11493869513591519</v>
      </c>
      <c r="BY131" s="5">
        <f t="shared" si="234"/>
        <v>1.008</v>
      </c>
      <c r="BZ131" s="178">
        <f t="shared" si="235"/>
        <v>0.89764472839543252</v>
      </c>
      <c r="CA131" s="5">
        <f t="shared" si="236"/>
        <v>89.764472839543259</v>
      </c>
      <c r="CD131" s="580">
        <f t="shared" si="237"/>
        <v>-50</v>
      </c>
      <c r="CE131">
        <f t="shared" si="238"/>
        <v>-50</v>
      </c>
    </row>
    <row r="132" spans="5:83" x14ac:dyDescent="0.2">
      <c r="E132" s="175">
        <v>22</v>
      </c>
      <c r="F132" s="222">
        <f t="shared" si="239"/>
        <v>8.8000000000000009E-2</v>
      </c>
      <c r="G132" s="222"/>
      <c r="H132" s="222">
        <f t="shared" si="190"/>
        <v>1.056</v>
      </c>
      <c r="I132" s="558">
        <f t="shared" si="191"/>
        <v>21.6</v>
      </c>
      <c r="J132" s="453">
        <f t="shared" si="192"/>
        <v>24.5</v>
      </c>
      <c r="K132" s="453">
        <f t="shared" si="193"/>
        <v>46.1</v>
      </c>
      <c r="L132" s="453"/>
      <c r="M132" s="222">
        <f t="shared" si="194"/>
        <v>0.53145336225596529</v>
      </c>
      <c r="N132" s="177">
        <f t="shared" si="240"/>
        <v>7.9064316702819957</v>
      </c>
      <c r="O132" s="177">
        <f t="shared" si="162"/>
        <v>1.056</v>
      </c>
      <c r="P132" s="222">
        <f t="shared" si="195"/>
        <v>0.65886930585683301</v>
      </c>
      <c r="Q132" s="222">
        <f t="shared" si="196"/>
        <v>12</v>
      </c>
      <c r="R132" s="222"/>
      <c r="S132" s="177">
        <f t="shared" si="197"/>
        <v>158.27385031921932</v>
      </c>
      <c r="T132" s="177">
        <f t="shared" si="198"/>
        <v>12</v>
      </c>
      <c r="U132" s="222">
        <f t="shared" si="199"/>
        <v>0.19366511516887458</v>
      </c>
      <c r="V132" s="222">
        <f t="shared" si="200"/>
        <v>0.7531421145456233</v>
      </c>
      <c r="W132" s="222">
        <f t="shared" si="201"/>
        <v>0.66399468057899858</v>
      </c>
      <c r="X132" s="202">
        <f t="shared" si="202"/>
        <v>350</v>
      </c>
      <c r="Y132" s="453">
        <f t="shared" si="203"/>
        <v>350</v>
      </c>
      <c r="AA132" s="222">
        <f t="shared" si="204"/>
        <v>0.39045553145336231</v>
      </c>
      <c r="AB132" s="178">
        <f t="shared" si="205"/>
        <v>1.3387046792686708</v>
      </c>
      <c r="AC132" s="178">
        <f t="shared" si="206"/>
        <v>0.18294662645103313</v>
      </c>
      <c r="AD132" s="178"/>
      <c r="AE132" s="178">
        <f t="shared" si="207"/>
        <v>0.99428571428571422</v>
      </c>
      <c r="AF132" s="562">
        <f t="shared" si="208"/>
        <v>305.19223147047177</v>
      </c>
      <c r="AG132" s="545">
        <f t="shared" si="209"/>
        <v>0.10091999999999998</v>
      </c>
      <c r="AI132" s="178">
        <f t="shared" si="210"/>
        <v>0.27080128015453203</v>
      </c>
      <c r="AJ132" s="178">
        <f t="shared" si="211"/>
        <v>0.28999999999999998</v>
      </c>
      <c r="AK132" s="178">
        <f t="shared" si="212"/>
        <v>1.1743955608402696</v>
      </c>
      <c r="AM132" s="562">
        <f t="shared" si="213"/>
        <v>88.000000000000014</v>
      </c>
      <c r="AN132" s="471">
        <f t="shared" si="214"/>
        <v>305.19223147047177</v>
      </c>
      <c r="AP132" s="471">
        <f t="shared" si="215"/>
        <v>88.000000000000014</v>
      </c>
      <c r="AQ132" s="471">
        <f t="shared" si="216"/>
        <v>305.19223147047177</v>
      </c>
      <c r="AS132" s="5">
        <f t="shared" si="164"/>
        <v>3.2766233766233754</v>
      </c>
      <c r="AT132" s="5">
        <f t="shared" si="217"/>
        <v>1.1277777777777775</v>
      </c>
      <c r="AU132" s="5">
        <f t="shared" si="218"/>
        <v>2.1488455988455977</v>
      </c>
      <c r="AV132" s="5"/>
      <c r="AW132" s="178">
        <f t="shared" si="219"/>
        <v>0.34418901660280976</v>
      </c>
      <c r="AX132" s="178">
        <f t="shared" si="142"/>
        <v>1.0780000000000003</v>
      </c>
      <c r="AY132" s="178">
        <f t="shared" si="143"/>
        <v>0.19018518518518515</v>
      </c>
      <c r="AZ132" s="178">
        <f t="shared" si="167"/>
        <v>5.6681596884128558</v>
      </c>
      <c r="BD132" s="178">
        <f t="shared" si="168"/>
        <v>9.8228129535784026E-2</v>
      </c>
      <c r="BE132" s="178">
        <f t="shared" si="146"/>
        <v>0.27117940851941219</v>
      </c>
      <c r="BG132" s="545">
        <f t="shared" si="220"/>
        <v>3.377067901234568E-3</v>
      </c>
      <c r="BH132" s="545">
        <f t="shared" si="221"/>
        <v>3.0600862068965527E-2</v>
      </c>
      <c r="BI132" s="545">
        <f t="shared" si="222"/>
        <v>3.8149028933808973E-3</v>
      </c>
      <c r="BJ132" s="545">
        <f t="shared" si="223"/>
        <v>3.2429879112168061E-2</v>
      </c>
      <c r="BK132">
        <f t="shared" si="224"/>
        <v>6.2640000000000005E-3</v>
      </c>
      <c r="BM132" s="471">
        <f t="shared" si="225"/>
        <v>76.48671197574906</v>
      </c>
      <c r="BN132" s="545">
        <f t="shared" si="226"/>
        <v>2.6400000000000003E-2</v>
      </c>
      <c r="BQ132" s="471">
        <f t="shared" si="227"/>
        <v>26.400000000000002</v>
      </c>
      <c r="BR132" s="545">
        <f t="shared" si="228"/>
        <v>9.1663271604938289E-4</v>
      </c>
      <c r="BS132" s="545">
        <f t="shared" si="229"/>
        <v>6.6184444444444416E-3</v>
      </c>
      <c r="BT132" s="545">
        <f t="shared" si="230"/>
        <v>3.6846707407639208E-3</v>
      </c>
      <c r="BU132" s="545"/>
      <c r="BV132" s="545">
        <f t="shared" si="231"/>
        <v>5.7750000000000024E-3</v>
      </c>
      <c r="BW132" s="471">
        <f t="shared" si="232"/>
        <v>16.994747901257746</v>
      </c>
      <c r="BX132" s="178">
        <f t="shared" si="233"/>
        <v>0.11988145987700682</v>
      </c>
      <c r="BY132" s="5">
        <f t="shared" si="234"/>
        <v>1.056</v>
      </c>
      <c r="BZ132" s="178">
        <f t="shared" si="235"/>
        <v>0.89804970656689664</v>
      </c>
      <c r="CA132" s="5">
        <f t="shared" si="236"/>
        <v>89.804970656689662</v>
      </c>
      <c r="CD132" s="580">
        <f t="shared" si="237"/>
        <v>-50</v>
      </c>
      <c r="CE132">
        <f t="shared" si="238"/>
        <v>-50</v>
      </c>
    </row>
    <row r="133" spans="5:83" x14ac:dyDescent="0.2">
      <c r="E133" s="175">
        <v>23</v>
      </c>
      <c r="F133" s="222">
        <f t="shared" si="239"/>
        <v>9.2000000000000012E-2</v>
      </c>
      <c r="G133" s="222"/>
      <c r="H133" s="222">
        <f t="shared" si="190"/>
        <v>1.1040000000000001</v>
      </c>
      <c r="I133" s="558">
        <f t="shared" si="191"/>
        <v>21.6</v>
      </c>
      <c r="J133" s="453">
        <f t="shared" si="192"/>
        <v>24.5</v>
      </c>
      <c r="K133" s="453">
        <f t="shared" si="193"/>
        <v>46.1</v>
      </c>
      <c r="L133" s="453"/>
      <c r="M133" s="222">
        <f t="shared" si="194"/>
        <v>0.53145336225596529</v>
      </c>
      <c r="N133" s="177">
        <f t="shared" si="240"/>
        <v>7.9064316702819957</v>
      </c>
      <c r="O133" s="177">
        <f t="shared" si="162"/>
        <v>1.1040000000000001</v>
      </c>
      <c r="P133" s="222">
        <f t="shared" si="195"/>
        <v>0.65886930585683301</v>
      </c>
      <c r="Q133" s="222">
        <f t="shared" si="196"/>
        <v>12</v>
      </c>
      <c r="R133" s="222"/>
      <c r="S133" s="177">
        <f t="shared" si="197"/>
        <v>150.92438190806857</v>
      </c>
      <c r="T133" s="177">
        <f t="shared" si="198"/>
        <v>12</v>
      </c>
      <c r="U133" s="222">
        <f t="shared" si="199"/>
        <v>0.20246807494927796</v>
      </c>
      <c r="V133" s="222">
        <f t="shared" si="200"/>
        <v>0.78737584702496966</v>
      </c>
      <c r="W133" s="222">
        <f t="shared" si="201"/>
        <v>0.69417625696895291</v>
      </c>
      <c r="X133" s="202">
        <f t="shared" si="202"/>
        <v>350</v>
      </c>
      <c r="Y133" s="453">
        <f t="shared" si="203"/>
        <v>350</v>
      </c>
      <c r="AA133" s="222">
        <f t="shared" si="204"/>
        <v>0.39045553145336231</v>
      </c>
      <c r="AB133" s="178">
        <f t="shared" si="205"/>
        <v>1.3387046792686708</v>
      </c>
      <c r="AC133" s="178">
        <f t="shared" si="206"/>
        <v>0.18294662645103313</v>
      </c>
      <c r="AD133" s="178"/>
      <c r="AE133" s="178">
        <f t="shared" si="207"/>
        <v>0.99428571428571422</v>
      </c>
      <c r="AF133" s="562">
        <f t="shared" si="208"/>
        <v>319.06460562822048</v>
      </c>
      <c r="AG133" s="545">
        <f t="shared" si="209"/>
        <v>0.10091999999999998</v>
      </c>
      <c r="AI133" s="178">
        <f t="shared" si="210"/>
        <v>0.27688746209726917</v>
      </c>
      <c r="AJ133" s="178">
        <f t="shared" si="211"/>
        <v>0.28999999999999998</v>
      </c>
      <c r="AK133" s="178">
        <f t="shared" si="212"/>
        <v>1.1823226317875546</v>
      </c>
      <c r="AM133" s="562">
        <f t="shared" si="213"/>
        <v>92.000000000000014</v>
      </c>
      <c r="AN133" s="471">
        <f t="shared" si="214"/>
        <v>319.06460562822048</v>
      </c>
      <c r="AP133" s="471">
        <f t="shared" si="215"/>
        <v>92.000000000000014</v>
      </c>
      <c r="AQ133" s="471">
        <f t="shared" si="216"/>
        <v>319.06460562822048</v>
      </c>
      <c r="AS133" s="5">
        <f t="shared" si="164"/>
        <v>3.1341614906832289</v>
      </c>
      <c r="AT133" s="5">
        <f t="shared" si="217"/>
        <v>1.1277777777777775</v>
      </c>
      <c r="AU133" s="5">
        <f t="shared" si="218"/>
        <v>2.0063837129054516</v>
      </c>
      <c r="AV133" s="5"/>
      <c r="AW133" s="178">
        <f t="shared" si="219"/>
        <v>0.35983397190293748</v>
      </c>
      <c r="AX133" s="178">
        <f t="shared" ref="AX133:AX196" si="241">0.5*L*AJ133^2*AN133*1000</f>
        <v>1.1270000000000002</v>
      </c>
      <c r="AY133" s="178">
        <f t="shared" ref="AY133:AY196" si="242">AJ133*Nps/2*(1-AW133)</f>
        <v>0.18564814814814809</v>
      </c>
      <c r="AZ133" s="178">
        <f t="shared" si="167"/>
        <v>6.0706234413965117</v>
      </c>
      <c r="BD133" s="178">
        <f t="shared" si="168"/>
        <v>0.10043577887890523</v>
      </c>
      <c r="BE133" s="178">
        <f t="shared" ref="BE133:BE196" si="243">AJ133*Nps*SQRT((1-AW133)/3)</f>
        <v>0.26792527058357885</v>
      </c>
      <c r="BG133" s="545">
        <f t="shared" si="220"/>
        <v>3.5305709876543205E-3</v>
      </c>
      <c r="BH133" s="545">
        <f t="shared" si="221"/>
        <v>3.1991810344827593E-2</v>
      </c>
      <c r="BI133" s="545">
        <f t="shared" si="222"/>
        <v>3.9883075703527563E-3</v>
      </c>
      <c r="BJ133" s="545">
        <f t="shared" si="223"/>
        <v>3.3903964526357522E-2</v>
      </c>
      <c r="BK133">
        <f t="shared" si="224"/>
        <v>6.2640000000000005E-3</v>
      </c>
      <c r="BM133" s="471">
        <f t="shared" si="225"/>
        <v>79.678653429192195</v>
      </c>
      <c r="BN133" s="545">
        <f t="shared" si="226"/>
        <v>2.7600000000000003E-2</v>
      </c>
      <c r="BQ133" s="471">
        <f t="shared" si="227"/>
        <v>27.6</v>
      </c>
      <c r="BR133" s="545">
        <f t="shared" si="228"/>
        <v>9.582978395061729E-4</v>
      </c>
      <c r="BS133" s="545">
        <f t="shared" si="229"/>
        <v>6.4605555555555545E-3</v>
      </c>
      <c r="BT133" s="545">
        <f t="shared" si="230"/>
        <v>4.1177651499642622E-3</v>
      </c>
      <c r="BU133" s="545"/>
      <c r="BV133" s="545">
        <f t="shared" si="231"/>
        <v>6.0375000000000021E-3</v>
      </c>
      <c r="BW133" s="471">
        <f t="shared" si="232"/>
        <v>17.574118545025993</v>
      </c>
      <c r="BX133" s="178">
        <f t="shared" si="233"/>
        <v>0.12485277197421818</v>
      </c>
      <c r="BY133" s="5">
        <f t="shared" si="234"/>
        <v>1.1040000000000001</v>
      </c>
      <c r="BZ133" s="178">
        <f t="shared" si="235"/>
        <v>0.89839891741169664</v>
      </c>
      <c r="CA133" s="5">
        <f t="shared" si="236"/>
        <v>89.839891741169666</v>
      </c>
      <c r="CD133" s="580">
        <f t="shared" si="237"/>
        <v>-50</v>
      </c>
      <c r="CE133">
        <f t="shared" si="238"/>
        <v>-50</v>
      </c>
    </row>
    <row r="134" spans="5:83" x14ac:dyDescent="0.2">
      <c r="E134" s="175">
        <v>24</v>
      </c>
      <c r="F134" s="222">
        <f t="shared" si="239"/>
        <v>9.6000000000000002E-2</v>
      </c>
      <c r="G134" s="222"/>
      <c r="H134" s="222">
        <f t="shared" si="190"/>
        <v>1.1520000000000001</v>
      </c>
      <c r="I134" s="558">
        <f t="shared" si="191"/>
        <v>21.6</v>
      </c>
      <c r="J134" s="453">
        <f t="shared" si="192"/>
        <v>24.5</v>
      </c>
      <c r="K134" s="453">
        <f t="shared" si="193"/>
        <v>46.1</v>
      </c>
      <c r="L134" s="453"/>
      <c r="M134" s="222">
        <f t="shared" si="194"/>
        <v>0.53145336225596529</v>
      </c>
      <c r="N134" s="177">
        <f t="shared" si="240"/>
        <v>7.9064316702819957</v>
      </c>
      <c r="O134" s="177">
        <f t="shared" ref="O134:O197" si="244">T134*F134</f>
        <v>1.1520000000000001</v>
      </c>
      <c r="P134" s="222">
        <f t="shared" si="195"/>
        <v>0.65886930585683301</v>
      </c>
      <c r="Q134" s="222">
        <f t="shared" si="196"/>
        <v>12</v>
      </c>
      <c r="R134" s="222"/>
      <c r="S134" s="177">
        <f t="shared" si="197"/>
        <v>144.18744321375345</v>
      </c>
      <c r="T134" s="177">
        <f t="shared" si="198"/>
        <v>12</v>
      </c>
      <c r="U134" s="222">
        <f t="shared" si="199"/>
        <v>0.21127103472968137</v>
      </c>
      <c r="V134" s="222">
        <f t="shared" si="200"/>
        <v>0.82160957950431635</v>
      </c>
      <c r="W134" s="222">
        <f t="shared" si="201"/>
        <v>0.72435783335890747</v>
      </c>
      <c r="X134" s="202">
        <f t="shared" si="202"/>
        <v>350</v>
      </c>
      <c r="Y134" s="453">
        <f t="shared" si="203"/>
        <v>350</v>
      </c>
      <c r="AA134" s="222">
        <f t="shared" si="204"/>
        <v>0.39045553145336231</v>
      </c>
      <c r="AB134" s="178">
        <f t="shared" si="205"/>
        <v>1.3387046792686708</v>
      </c>
      <c r="AC134" s="178">
        <f t="shared" si="206"/>
        <v>0.18294662645103313</v>
      </c>
      <c r="AD134" s="178"/>
      <c r="AE134" s="178">
        <f t="shared" si="207"/>
        <v>0.99428571428571422</v>
      </c>
      <c r="AF134" s="562">
        <f t="shared" si="208"/>
        <v>332.93697978596919</v>
      </c>
      <c r="AG134" s="545">
        <f t="shared" si="209"/>
        <v>0.10091999999999998</v>
      </c>
      <c r="AI134" s="178">
        <f t="shared" si="210"/>
        <v>0.28284271247461901</v>
      </c>
      <c r="AJ134" s="178">
        <f t="shared" si="211"/>
        <v>0.28999999999999998</v>
      </c>
      <c r="AK134" s="178">
        <f t="shared" si="212"/>
        <v>1.1902497027348395</v>
      </c>
      <c r="AM134" s="562">
        <f t="shared" si="213"/>
        <v>96</v>
      </c>
      <c r="AN134" s="471">
        <f t="shared" si="214"/>
        <v>332.93697978596919</v>
      </c>
      <c r="AP134" s="471">
        <f t="shared" si="215"/>
        <v>96</v>
      </c>
      <c r="AQ134" s="471">
        <f t="shared" si="216"/>
        <v>332.93697978596919</v>
      </c>
      <c r="AS134" s="5">
        <f t="shared" ref="AS134:AS197" si="245">1/AN134*1000</f>
        <v>3.0035714285714277</v>
      </c>
      <c r="AT134" s="5">
        <f t="shared" si="217"/>
        <v>1.1277777777777775</v>
      </c>
      <c r="AU134" s="5">
        <f t="shared" si="218"/>
        <v>1.8757936507936501</v>
      </c>
      <c r="AV134" s="5"/>
      <c r="AW134" s="178">
        <f t="shared" si="219"/>
        <v>0.37547892720306519</v>
      </c>
      <c r="AX134" s="178">
        <f t="shared" si="241"/>
        <v>1.1760000000000002</v>
      </c>
      <c r="AY134" s="178">
        <f t="shared" si="242"/>
        <v>0.18111111111111108</v>
      </c>
      <c r="AZ134" s="178">
        <f t="shared" ref="AZ134:AZ197" si="246">AX134/AY134</f>
        <v>6.4932515337423329</v>
      </c>
      <c r="BD134" s="178">
        <f t="shared" ref="BD134:BD197" si="247">AJ134*SQRT(AW134/3)</f>
        <v>0.10259593523101158</v>
      </c>
      <c r="BE134" s="178">
        <f t="shared" si="243"/>
        <v>0.26463111991908589</v>
      </c>
      <c r="BG134" s="545">
        <f t="shared" si="220"/>
        <v>3.6840740740740736E-3</v>
      </c>
      <c r="BH134" s="545">
        <f t="shared" si="221"/>
        <v>3.3382758620689665E-2</v>
      </c>
      <c r="BI134" s="545">
        <f t="shared" si="222"/>
        <v>4.1617122473246145E-3</v>
      </c>
      <c r="BJ134" s="545">
        <f t="shared" si="223"/>
        <v>3.5378049940546975E-2</v>
      </c>
      <c r="BK134">
        <f t="shared" si="224"/>
        <v>6.2640000000000005E-3</v>
      </c>
      <c r="BM134" s="471">
        <f t="shared" si="225"/>
        <v>82.870594882635331</v>
      </c>
      <c r="BN134" s="545">
        <f t="shared" si="226"/>
        <v>2.8799999999999999E-2</v>
      </c>
      <c r="BQ134" s="471">
        <f t="shared" si="227"/>
        <v>28.8</v>
      </c>
      <c r="BR134" s="545">
        <f t="shared" si="228"/>
        <v>9.9996296296296291E-4</v>
      </c>
      <c r="BS134" s="545">
        <f t="shared" si="229"/>
        <v>6.3026666666666656E-3</v>
      </c>
      <c r="BT134" s="545">
        <f t="shared" si="230"/>
        <v>4.5800486159496556E-3</v>
      </c>
      <c r="BU134" s="545"/>
      <c r="BV134" s="545">
        <f t="shared" si="231"/>
        <v>6.3000000000000018E-3</v>
      </c>
      <c r="BW134" s="471">
        <f t="shared" si="232"/>
        <v>18.182678245579286</v>
      </c>
      <c r="BX134" s="178">
        <f t="shared" si="233"/>
        <v>0.12985327312821462</v>
      </c>
      <c r="BY134" s="5">
        <f t="shared" si="234"/>
        <v>1.1520000000000001</v>
      </c>
      <c r="BZ134" s="178">
        <f t="shared" si="235"/>
        <v>0.89869880129780944</v>
      </c>
      <c r="CA134" s="5">
        <f t="shared" si="236"/>
        <v>89.869880129780938</v>
      </c>
      <c r="CD134" s="580">
        <f t="shared" si="237"/>
        <v>-50</v>
      </c>
      <c r="CE134">
        <f t="shared" si="238"/>
        <v>-50</v>
      </c>
    </row>
    <row r="135" spans="5:83" x14ac:dyDescent="0.2">
      <c r="E135" s="175">
        <v>25</v>
      </c>
      <c r="F135" s="222">
        <f t="shared" si="239"/>
        <v>0.1</v>
      </c>
      <c r="G135" s="222"/>
      <c r="H135" s="222">
        <f t="shared" si="190"/>
        <v>1.2000000000000002</v>
      </c>
      <c r="I135" s="558">
        <f t="shared" si="191"/>
        <v>21.6</v>
      </c>
      <c r="J135" s="453">
        <f t="shared" si="192"/>
        <v>24.5</v>
      </c>
      <c r="K135" s="453">
        <f t="shared" si="193"/>
        <v>46.1</v>
      </c>
      <c r="L135" s="453"/>
      <c r="M135" s="222">
        <f t="shared" si="194"/>
        <v>0.53145336225596529</v>
      </c>
      <c r="N135" s="177">
        <f t="shared" si="240"/>
        <v>7.9064316702819957</v>
      </c>
      <c r="O135" s="177">
        <f t="shared" si="244"/>
        <v>1.2000000000000002</v>
      </c>
      <c r="P135" s="222">
        <f t="shared" si="195"/>
        <v>0.65886930585683301</v>
      </c>
      <c r="Q135" s="222">
        <f t="shared" si="196"/>
        <v>12</v>
      </c>
      <c r="R135" s="222"/>
      <c r="S135" s="177">
        <f t="shared" si="197"/>
        <v>137.98953131621826</v>
      </c>
      <c r="T135" s="177">
        <f t="shared" si="198"/>
        <v>12</v>
      </c>
      <c r="U135" s="222">
        <f t="shared" si="199"/>
        <v>0.22007399451008477</v>
      </c>
      <c r="V135" s="222">
        <f t="shared" si="200"/>
        <v>0.85584331198366292</v>
      </c>
      <c r="W135" s="222">
        <f t="shared" si="201"/>
        <v>0.75453940974886213</v>
      </c>
      <c r="X135" s="202">
        <f t="shared" si="202"/>
        <v>350</v>
      </c>
      <c r="Y135" s="453">
        <f t="shared" si="203"/>
        <v>350</v>
      </c>
      <c r="AA135" s="222">
        <f t="shared" si="204"/>
        <v>0.39045553145336231</v>
      </c>
      <c r="AB135" s="178">
        <f t="shared" si="205"/>
        <v>1.3387046792686708</v>
      </c>
      <c r="AC135" s="178">
        <f t="shared" si="206"/>
        <v>0.18294662645103313</v>
      </c>
      <c r="AD135" s="178"/>
      <c r="AE135" s="178">
        <f t="shared" si="207"/>
        <v>0.99428571428571422</v>
      </c>
      <c r="AF135" s="562">
        <f t="shared" si="208"/>
        <v>346.80935394371789</v>
      </c>
      <c r="AG135" s="545">
        <f t="shared" si="209"/>
        <v>0.10091999999999998</v>
      </c>
      <c r="AI135" s="178">
        <f t="shared" si="210"/>
        <v>0.28867513459481292</v>
      </c>
      <c r="AJ135" s="178">
        <f t="shared" si="211"/>
        <v>0.28999999999999998</v>
      </c>
      <c r="AK135" s="178">
        <f t="shared" si="212"/>
        <v>1.1981767736821245</v>
      </c>
      <c r="AM135" s="562">
        <f t="shared" si="213"/>
        <v>100</v>
      </c>
      <c r="AN135" s="471">
        <f t="shared" si="214"/>
        <v>346.80935394371789</v>
      </c>
      <c r="AP135" s="471">
        <f t="shared" si="215"/>
        <v>100</v>
      </c>
      <c r="AQ135" s="471">
        <f t="shared" si="216"/>
        <v>346.80935394371789</v>
      </c>
      <c r="AS135" s="5">
        <f t="shared" si="245"/>
        <v>2.8834285714285706</v>
      </c>
      <c r="AT135" s="5">
        <f t="shared" si="217"/>
        <v>1.1277777777777775</v>
      </c>
      <c r="AU135" s="5">
        <f t="shared" si="218"/>
        <v>1.755650793650793</v>
      </c>
      <c r="AV135" s="5"/>
      <c r="AW135" s="178">
        <f t="shared" si="219"/>
        <v>0.39112388250319291</v>
      </c>
      <c r="AX135" s="178">
        <f t="shared" si="241"/>
        <v>1.2250000000000001</v>
      </c>
      <c r="AY135" s="178">
        <f t="shared" si="242"/>
        <v>0.17657407407407405</v>
      </c>
      <c r="AZ135" s="178">
        <f t="shared" si="246"/>
        <v>6.9375983219716844</v>
      </c>
      <c r="BD135" s="178">
        <f t="shared" si="247"/>
        <v>0.10471153791650424</v>
      </c>
      <c r="BE135" s="178">
        <f t="shared" si="243"/>
        <v>0.26129544320935888</v>
      </c>
      <c r="BG135" s="545">
        <f t="shared" si="220"/>
        <v>3.8375771604938266E-3</v>
      </c>
      <c r="BH135" s="545">
        <f t="shared" si="221"/>
        <v>3.4773706896551737E-2</v>
      </c>
      <c r="BI135" s="545">
        <f t="shared" si="222"/>
        <v>4.3351169242964735E-3</v>
      </c>
      <c r="BJ135" s="545">
        <f t="shared" si="223"/>
        <v>3.6852135354736436E-2</v>
      </c>
      <c r="BK135">
        <f t="shared" si="224"/>
        <v>6.2640000000000005E-3</v>
      </c>
      <c r="BM135" s="471">
        <f t="shared" si="225"/>
        <v>86.06253633607848</v>
      </c>
      <c r="BN135" s="545">
        <f t="shared" si="226"/>
        <v>0.03</v>
      </c>
      <c r="BQ135" s="471">
        <f t="shared" si="227"/>
        <v>30</v>
      </c>
      <c r="BR135" s="545">
        <f t="shared" si="228"/>
        <v>1.041628086419753E-3</v>
      </c>
      <c r="BS135" s="545">
        <f t="shared" si="229"/>
        <v>6.144777777777775E-3</v>
      </c>
      <c r="BT135" s="545">
        <f t="shared" si="230"/>
        <v>5.0721490280567225E-3</v>
      </c>
      <c r="BU135" s="545"/>
      <c r="BV135" s="545">
        <f t="shared" si="231"/>
        <v>6.5625000000000024E-3</v>
      </c>
      <c r="BW135" s="471">
        <f t="shared" si="232"/>
        <v>18.821054892254253</v>
      </c>
      <c r="BX135" s="178">
        <f t="shared" si="233"/>
        <v>0.13488359122833274</v>
      </c>
      <c r="BY135" s="5">
        <f t="shared" si="234"/>
        <v>1.2000000000000002</v>
      </c>
      <c r="BZ135" s="178">
        <f t="shared" si="235"/>
        <v>0.89895479117829613</v>
      </c>
      <c r="CA135" s="5">
        <f t="shared" si="236"/>
        <v>89.895479117829609</v>
      </c>
      <c r="CD135" s="580">
        <f t="shared" si="237"/>
        <v>-50</v>
      </c>
      <c r="CE135">
        <f t="shared" si="238"/>
        <v>-50</v>
      </c>
    </row>
    <row r="136" spans="5:83" x14ac:dyDescent="0.2">
      <c r="E136" s="175">
        <v>26</v>
      </c>
      <c r="F136" s="222">
        <f t="shared" si="239"/>
        <v>0.10400000000000001</v>
      </c>
      <c r="G136" s="222"/>
      <c r="H136" s="222">
        <f t="shared" si="190"/>
        <v>1.2480000000000002</v>
      </c>
      <c r="I136" s="558">
        <f t="shared" si="191"/>
        <v>21.6</v>
      </c>
      <c r="J136" s="453">
        <f t="shared" si="192"/>
        <v>24.5</v>
      </c>
      <c r="K136" s="453">
        <f t="shared" si="193"/>
        <v>46.1</v>
      </c>
      <c r="L136" s="453"/>
      <c r="M136" s="222">
        <f t="shared" si="194"/>
        <v>0.53145336225596529</v>
      </c>
      <c r="N136" s="177">
        <f t="shared" si="240"/>
        <v>7.9064316702819957</v>
      </c>
      <c r="O136" s="177">
        <f t="shared" si="244"/>
        <v>1.2480000000000002</v>
      </c>
      <c r="P136" s="222">
        <f t="shared" si="195"/>
        <v>0.65886930585683301</v>
      </c>
      <c r="Q136" s="222">
        <f t="shared" si="196"/>
        <v>12</v>
      </c>
      <c r="R136" s="222"/>
      <c r="S136" s="177">
        <f t="shared" si="197"/>
        <v>132.26845144428941</v>
      </c>
      <c r="T136" s="177">
        <f t="shared" si="198"/>
        <v>12</v>
      </c>
      <c r="U136" s="222">
        <f t="shared" si="199"/>
        <v>0.22887695429048815</v>
      </c>
      <c r="V136" s="222">
        <f t="shared" si="200"/>
        <v>0.89007704446300928</v>
      </c>
      <c r="W136" s="222">
        <f t="shared" si="201"/>
        <v>0.78472098613881636</v>
      </c>
      <c r="X136" s="202">
        <f t="shared" si="202"/>
        <v>350</v>
      </c>
      <c r="Y136" s="453">
        <f t="shared" si="203"/>
        <v>350</v>
      </c>
      <c r="AA136" s="222">
        <f t="shared" si="204"/>
        <v>0.39045553145336231</v>
      </c>
      <c r="AB136" s="178">
        <f t="shared" si="205"/>
        <v>1.3387046792686708</v>
      </c>
      <c r="AC136" s="178">
        <f t="shared" si="206"/>
        <v>0.18294662645103313</v>
      </c>
      <c r="AD136" s="178"/>
      <c r="AE136" s="178">
        <f t="shared" si="207"/>
        <v>0.99428571428571422</v>
      </c>
      <c r="AF136" s="562">
        <f t="shared" si="208"/>
        <v>360.6817281014666</v>
      </c>
      <c r="AG136" s="545">
        <f t="shared" si="209"/>
        <v>0.10091999999999998</v>
      </c>
      <c r="AI136" s="178">
        <f t="shared" si="210"/>
        <v>0.29439202887759491</v>
      </c>
      <c r="AJ136" s="178">
        <f t="shared" si="211"/>
        <v>0.29439202887759491</v>
      </c>
      <c r="AK136" s="178">
        <f t="shared" si="212"/>
        <v>1.2032533547241444</v>
      </c>
      <c r="AM136" s="562">
        <f t="shared" si="213"/>
        <v>104.00000000000001</v>
      </c>
      <c r="AN136" s="471">
        <f t="shared" si="214"/>
        <v>350</v>
      </c>
      <c r="AP136" s="471">
        <f t="shared" si="215"/>
        <v>104.00000000000001</v>
      </c>
      <c r="AQ136" s="471">
        <f t="shared" si="216"/>
        <v>350</v>
      </c>
      <c r="AS136" s="5">
        <f t="shared" si="245"/>
        <v>2.8571428571428572</v>
      </c>
      <c r="AT136" s="5">
        <f t="shared" si="217"/>
        <v>1.1448578900795356</v>
      </c>
      <c r="AU136" s="5">
        <f t="shared" si="218"/>
        <v>1.7122849670633216</v>
      </c>
      <c r="AV136" s="5"/>
      <c r="AW136" s="178">
        <f t="shared" si="219"/>
        <v>0.40070026152783744</v>
      </c>
      <c r="AX136" s="178">
        <f t="shared" si="241"/>
        <v>1.2740000000000002</v>
      </c>
      <c r="AY136" s="178">
        <f t="shared" si="242"/>
        <v>0.17642906591463195</v>
      </c>
      <c r="AZ136" s="178">
        <f t="shared" si="246"/>
        <v>7.2210323927943127</v>
      </c>
      <c r="BD136" s="178">
        <f t="shared" si="247"/>
        <v>0.10759082364693756</v>
      </c>
      <c r="BE136" s="178">
        <f t="shared" si="243"/>
        <v>0.2631585343921985</v>
      </c>
      <c r="BG136" s="545">
        <f t="shared" si="220"/>
        <v>4.0515248665592462E-3</v>
      </c>
      <c r="BH136" s="545">
        <f t="shared" si="221"/>
        <v>3.5625115394549954E-2</v>
      </c>
      <c r="BI136" s="545">
        <f t="shared" si="222"/>
        <v>4.3749999999999995E-3</v>
      </c>
      <c r="BJ136" s="545">
        <f t="shared" si="223"/>
        <v>3.7191175E-2</v>
      </c>
      <c r="BK136">
        <f t="shared" si="224"/>
        <v>6.2640000000000005E-3</v>
      </c>
      <c r="BM136" s="471">
        <f t="shared" si="225"/>
        <v>87.50681526110921</v>
      </c>
      <c r="BN136" s="545">
        <f t="shared" si="226"/>
        <v>3.1200000000000002E-2</v>
      </c>
      <c r="BQ136" s="471">
        <f t="shared" si="227"/>
        <v>31.200000000000003</v>
      </c>
      <c r="BR136" s="545">
        <f t="shared" si="228"/>
        <v>1.0996996066375097E-3</v>
      </c>
      <c r="BS136" s="545">
        <f t="shared" si="229"/>
        <v>6.2327172801104926E-3</v>
      </c>
      <c r="BT136" s="545">
        <f t="shared" si="230"/>
        <v>5.3883429804514214E-3</v>
      </c>
      <c r="BU136" s="545"/>
      <c r="BV136" s="545">
        <f t="shared" si="231"/>
        <v>6.8250000000000021E-3</v>
      </c>
      <c r="BW136" s="471">
        <f t="shared" si="232"/>
        <v>19.545759867199425</v>
      </c>
      <c r="BX136" s="178">
        <f t="shared" si="233"/>
        <v>0.13825257512830866</v>
      </c>
      <c r="BY136" s="5">
        <f t="shared" si="234"/>
        <v>1.2480000000000002</v>
      </c>
      <c r="BZ136" s="178">
        <f t="shared" si="235"/>
        <v>0.90026884161747212</v>
      </c>
      <c r="CA136" s="5">
        <f t="shared" si="236"/>
        <v>90.026884161747205</v>
      </c>
      <c r="CD136" s="580">
        <f t="shared" si="237"/>
        <v>-50</v>
      </c>
      <c r="CE136">
        <f t="shared" si="238"/>
        <v>-50</v>
      </c>
    </row>
    <row r="137" spans="5:83" x14ac:dyDescent="0.2">
      <c r="E137" s="175">
        <v>27</v>
      </c>
      <c r="F137" s="222">
        <f t="shared" si="239"/>
        <v>0.10800000000000001</v>
      </c>
      <c r="G137" s="222"/>
      <c r="H137" s="222">
        <f t="shared" si="190"/>
        <v>1.2960000000000003</v>
      </c>
      <c r="I137" s="558">
        <f t="shared" si="191"/>
        <v>21.6</v>
      </c>
      <c r="J137" s="453">
        <f t="shared" si="192"/>
        <v>24.5</v>
      </c>
      <c r="K137" s="453">
        <f t="shared" si="193"/>
        <v>46.1</v>
      </c>
      <c r="L137" s="453"/>
      <c r="M137" s="222">
        <f t="shared" si="194"/>
        <v>0.53145336225596529</v>
      </c>
      <c r="N137" s="177">
        <f t="shared" si="240"/>
        <v>7.9064316702819957</v>
      </c>
      <c r="O137" s="177">
        <f t="shared" si="244"/>
        <v>1.2960000000000003</v>
      </c>
      <c r="P137" s="222">
        <f t="shared" si="195"/>
        <v>0.65886930585683301</v>
      </c>
      <c r="Q137" s="222">
        <f t="shared" si="196"/>
        <v>12</v>
      </c>
      <c r="R137" s="222"/>
      <c r="S137" s="177">
        <f t="shared" si="197"/>
        <v>126.97122287413217</v>
      </c>
      <c r="T137" s="177">
        <f t="shared" si="198"/>
        <v>12</v>
      </c>
      <c r="U137" s="222">
        <f t="shared" si="199"/>
        <v>0.23767991407089156</v>
      </c>
      <c r="V137" s="222">
        <f t="shared" si="200"/>
        <v>0.92431077694235597</v>
      </c>
      <c r="W137" s="222">
        <f t="shared" si="201"/>
        <v>0.81490256252877102</v>
      </c>
      <c r="X137" s="202">
        <f t="shared" si="202"/>
        <v>350</v>
      </c>
      <c r="Y137" s="453">
        <f t="shared" si="203"/>
        <v>350</v>
      </c>
      <c r="AA137" s="222">
        <f t="shared" si="204"/>
        <v>0.39045553145336231</v>
      </c>
      <c r="AB137" s="178">
        <f t="shared" si="205"/>
        <v>1.3387046792686708</v>
      </c>
      <c r="AC137" s="178">
        <f t="shared" si="206"/>
        <v>0.18294662645103313</v>
      </c>
      <c r="AD137" s="178"/>
      <c r="AE137" s="178">
        <f t="shared" si="207"/>
        <v>0.99428571428571422</v>
      </c>
      <c r="AF137" s="562">
        <f t="shared" si="208"/>
        <v>374.55410225921537</v>
      </c>
      <c r="AG137" s="545">
        <f t="shared" si="209"/>
        <v>0.10091999999999998</v>
      </c>
      <c r="AI137" s="178">
        <f t="shared" si="210"/>
        <v>0.30000000000000004</v>
      </c>
      <c r="AJ137" s="178">
        <f t="shared" si="211"/>
        <v>0.30000000000000004</v>
      </c>
      <c r="AK137" s="178">
        <f t="shared" si="212"/>
        <v>1.2074074074074075</v>
      </c>
      <c r="AM137" s="562">
        <f t="shared" si="213"/>
        <v>108.00000000000001</v>
      </c>
      <c r="AN137" s="471">
        <f t="shared" si="214"/>
        <v>350</v>
      </c>
      <c r="AP137" s="471">
        <f t="shared" si="215"/>
        <v>108.00000000000001</v>
      </c>
      <c r="AQ137" s="471">
        <f t="shared" si="216"/>
        <v>350</v>
      </c>
      <c r="AS137" s="5">
        <f t="shared" si="245"/>
        <v>2.8571428571428572</v>
      </c>
      <c r="AT137" s="5">
        <f t="shared" si="217"/>
        <v>1.1666666666666667</v>
      </c>
      <c r="AU137" s="5">
        <f t="shared" si="218"/>
        <v>1.6904761904761905</v>
      </c>
      <c r="AV137" s="5"/>
      <c r="AW137" s="178">
        <f t="shared" si="219"/>
        <v>0.40833333333333333</v>
      </c>
      <c r="AX137" s="178">
        <f t="shared" si="241"/>
        <v>1.3230000000000002</v>
      </c>
      <c r="AY137" s="178">
        <f t="shared" si="242"/>
        <v>0.17750000000000002</v>
      </c>
      <c r="AZ137" s="178">
        <f t="shared" si="246"/>
        <v>7.4535211267605632</v>
      </c>
      <c r="BD137" s="178">
        <f t="shared" si="247"/>
        <v>0.11067971810589329</v>
      </c>
      <c r="BE137" s="178">
        <f t="shared" si="243"/>
        <v>0.26645825188948458</v>
      </c>
      <c r="BG137" s="545">
        <f t="shared" si="220"/>
        <v>4.2875000000000014E-3</v>
      </c>
      <c r="BH137" s="545">
        <f t="shared" si="221"/>
        <v>3.6303750000000003E-2</v>
      </c>
      <c r="BI137" s="545">
        <f t="shared" si="222"/>
        <v>4.3749999999999995E-3</v>
      </c>
      <c r="BJ137" s="545">
        <f t="shared" si="223"/>
        <v>3.7191175E-2</v>
      </c>
      <c r="BK137">
        <f t="shared" si="224"/>
        <v>6.2640000000000005E-3</v>
      </c>
      <c r="BM137" s="471">
        <f t="shared" si="225"/>
        <v>88.421425000000013</v>
      </c>
      <c r="BN137" s="545">
        <f t="shared" si="226"/>
        <v>3.2400000000000005E-2</v>
      </c>
      <c r="BQ137" s="471">
        <f t="shared" si="227"/>
        <v>32.400000000000006</v>
      </c>
      <c r="BR137" s="545">
        <f t="shared" si="228"/>
        <v>1.1637500000000003E-3</v>
      </c>
      <c r="BS137" s="545">
        <f t="shared" si="229"/>
        <v>6.3900000000000007E-3</v>
      </c>
      <c r="BT137" s="545">
        <f t="shared" si="230"/>
        <v>5.648631609735221E-3</v>
      </c>
      <c r="BU137" s="545"/>
      <c r="BV137" s="545">
        <f t="shared" si="231"/>
        <v>7.0875000000000018E-3</v>
      </c>
      <c r="BW137" s="471">
        <f t="shared" si="232"/>
        <v>20.289881609735222</v>
      </c>
      <c r="BX137" s="178">
        <f t="shared" si="233"/>
        <v>0.14111130660973523</v>
      </c>
      <c r="BY137" s="5">
        <f t="shared" si="234"/>
        <v>1.2960000000000003</v>
      </c>
      <c r="BZ137" s="178">
        <f t="shared" si="235"/>
        <v>0.90180906241519432</v>
      </c>
      <c r="CA137" s="5">
        <f t="shared" si="236"/>
        <v>90.180906241519438</v>
      </c>
      <c r="CD137" s="580">
        <f t="shared" si="237"/>
        <v>-50</v>
      </c>
      <c r="CE137">
        <f t="shared" si="238"/>
        <v>-50</v>
      </c>
    </row>
    <row r="138" spans="5:83" x14ac:dyDescent="0.2">
      <c r="E138" s="175">
        <v>28</v>
      </c>
      <c r="F138" s="222">
        <f t="shared" si="239"/>
        <v>0.11200000000000002</v>
      </c>
      <c r="G138" s="222"/>
      <c r="H138" s="222">
        <f t="shared" si="190"/>
        <v>1.3440000000000003</v>
      </c>
      <c r="I138" s="558">
        <f t="shared" si="191"/>
        <v>21.6</v>
      </c>
      <c r="J138" s="453">
        <f t="shared" si="192"/>
        <v>24.5</v>
      </c>
      <c r="K138" s="453">
        <f t="shared" si="193"/>
        <v>46.1</v>
      </c>
      <c r="L138" s="453"/>
      <c r="M138" s="222">
        <f t="shared" si="194"/>
        <v>0.53145336225596529</v>
      </c>
      <c r="N138" s="177">
        <f t="shared" si="240"/>
        <v>7.9064316702819957</v>
      </c>
      <c r="O138" s="177">
        <f t="shared" si="244"/>
        <v>1.3440000000000003</v>
      </c>
      <c r="P138" s="222">
        <f t="shared" si="195"/>
        <v>0.65886930585683301</v>
      </c>
      <c r="Q138" s="222">
        <f t="shared" si="196"/>
        <v>12</v>
      </c>
      <c r="R138" s="222"/>
      <c r="S138" s="177">
        <f t="shared" si="197"/>
        <v>122.05243356375347</v>
      </c>
      <c r="T138" s="177">
        <f t="shared" si="198"/>
        <v>12</v>
      </c>
      <c r="U138" s="222">
        <f t="shared" si="199"/>
        <v>0.24648287385129494</v>
      </c>
      <c r="V138" s="222">
        <f t="shared" si="200"/>
        <v>0.95854450942170255</v>
      </c>
      <c r="W138" s="222">
        <f t="shared" si="201"/>
        <v>0.84508413891872547</v>
      </c>
      <c r="X138" s="202">
        <f t="shared" si="202"/>
        <v>350</v>
      </c>
      <c r="Y138" s="453">
        <f t="shared" si="203"/>
        <v>350</v>
      </c>
      <c r="AA138" s="222">
        <f t="shared" si="204"/>
        <v>0.39045553145336231</v>
      </c>
      <c r="AB138" s="178">
        <f t="shared" si="205"/>
        <v>1.3387046792686708</v>
      </c>
      <c r="AC138" s="178">
        <f t="shared" si="206"/>
        <v>0.18294662645103313</v>
      </c>
      <c r="AD138" s="178"/>
      <c r="AE138" s="178">
        <f t="shared" si="207"/>
        <v>0.99428571428571422</v>
      </c>
      <c r="AF138" s="562">
        <f t="shared" si="208"/>
        <v>388.42647641696408</v>
      </c>
      <c r="AG138" s="545">
        <f t="shared" si="209"/>
        <v>0.10091999999999998</v>
      </c>
      <c r="AI138" s="178">
        <f t="shared" si="210"/>
        <v>0.30550504633038938</v>
      </c>
      <c r="AJ138" s="178">
        <f t="shared" si="211"/>
        <v>0.30550504633038938</v>
      </c>
      <c r="AK138" s="178">
        <f t="shared" si="212"/>
        <v>1.211485219503992</v>
      </c>
      <c r="AM138" s="562">
        <f t="shared" si="213"/>
        <v>112.00000000000001</v>
      </c>
      <c r="AN138" s="471">
        <f t="shared" si="214"/>
        <v>350</v>
      </c>
      <c r="AP138" s="471">
        <f t="shared" si="215"/>
        <v>112.00000000000001</v>
      </c>
      <c r="AQ138" s="471">
        <f t="shared" si="216"/>
        <v>350</v>
      </c>
      <c r="AS138" s="5">
        <f t="shared" si="245"/>
        <v>2.8571428571428572</v>
      </c>
      <c r="AT138" s="5">
        <f t="shared" si="217"/>
        <v>1.1880751801737364</v>
      </c>
      <c r="AU138" s="5">
        <f t="shared" si="218"/>
        <v>1.6690676769691208</v>
      </c>
      <c r="AV138" s="5"/>
      <c r="AW138" s="178">
        <f t="shared" si="219"/>
        <v>0.4158263130608077</v>
      </c>
      <c r="AX138" s="178">
        <f t="shared" si="241"/>
        <v>1.3720000000000006</v>
      </c>
      <c r="AY138" s="178">
        <f t="shared" si="242"/>
        <v>0.17846800929335233</v>
      </c>
      <c r="AZ138" s="178">
        <f t="shared" si="246"/>
        <v>7.6876522881185378</v>
      </c>
      <c r="BD138" s="178">
        <f t="shared" si="247"/>
        <v>0.1137401364011775</v>
      </c>
      <c r="BE138" s="178">
        <f t="shared" si="243"/>
        <v>0.26962412712925121</v>
      </c>
      <c r="BG138" s="545">
        <f t="shared" si="220"/>
        <v>4.5278865199954617E-3</v>
      </c>
      <c r="BH138" s="545">
        <f t="shared" si="221"/>
        <v>3.6969929419056247E-2</v>
      </c>
      <c r="BI138" s="545">
        <f t="shared" si="222"/>
        <v>4.3749999999999995E-3</v>
      </c>
      <c r="BJ138" s="545">
        <f t="shared" si="223"/>
        <v>3.7191175E-2</v>
      </c>
      <c r="BK138">
        <f t="shared" si="224"/>
        <v>6.2640000000000005E-3</v>
      </c>
      <c r="BM138" s="471">
        <f t="shared" si="225"/>
        <v>89.327990939051702</v>
      </c>
      <c r="BN138" s="545">
        <f t="shared" si="226"/>
        <v>3.3600000000000005E-2</v>
      </c>
      <c r="BQ138" s="471">
        <f t="shared" si="227"/>
        <v>33.6</v>
      </c>
      <c r="BR138" s="545">
        <f t="shared" si="228"/>
        <v>1.228997769713054E-3</v>
      </c>
      <c r="BS138" s="545">
        <f t="shared" si="229"/>
        <v>6.5427452937189554E-3</v>
      </c>
      <c r="BT138" s="545">
        <f t="shared" si="230"/>
        <v>5.9113419980631222E-3</v>
      </c>
      <c r="BU138" s="545"/>
      <c r="BV138" s="545">
        <f t="shared" si="231"/>
        <v>7.3500000000000032E-3</v>
      </c>
      <c r="BW138" s="471">
        <f t="shared" si="232"/>
        <v>21.033085061495136</v>
      </c>
      <c r="BX138" s="178">
        <f t="shared" si="233"/>
        <v>0.14396107600054683</v>
      </c>
      <c r="BY138" s="5">
        <f t="shared" si="234"/>
        <v>1.3440000000000003</v>
      </c>
      <c r="BZ138" s="178">
        <f t="shared" si="235"/>
        <v>0.90324943419387282</v>
      </c>
      <c r="CA138" s="5">
        <f t="shared" si="236"/>
        <v>90.324943419387282</v>
      </c>
      <c r="CD138" s="580">
        <f t="shared" si="237"/>
        <v>-50</v>
      </c>
      <c r="CE138">
        <f t="shared" si="238"/>
        <v>-50</v>
      </c>
    </row>
    <row r="139" spans="5:83" x14ac:dyDescent="0.2">
      <c r="E139" s="175">
        <v>29</v>
      </c>
      <c r="F139" s="222">
        <f t="shared" si="239"/>
        <v>0.11599999999999999</v>
      </c>
      <c r="G139" s="222"/>
      <c r="H139" s="222">
        <f t="shared" si="190"/>
        <v>1.3919999999999999</v>
      </c>
      <c r="I139" s="558">
        <f t="shared" si="191"/>
        <v>21.6</v>
      </c>
      <c r="J139" s="453">
        <f t="shared" si="192"/>
        <v>24.5</v>
      </c>
      <c r="K139" s="453">
        <f t="shared" si="193"/>
        <v>46.1</v>
      </c>
      <c r="L139" s="453"/>
      <c r="M139" s="222">
        <f t="shared" si="194"/>
        <v>0.53145336225596529</v>
      </c>
      <c r="N139" s="177">
        <f t="shared" si="240"/>
        <v>7.9064316702819957</v>
      </c>
      <c r="O139" s="177">
        <f t="shared" si="244"/>
        <v>1.3919999999999999</v>
      </c>
      <c r="P139" s="222">
        <f t="shared" si="195"/>
        <v>0.65886930585683301</v>
      </c>
      <c r="Q139" s="222">
        <f t="shared" si="196"/>
        <v>12</v>
      </c>
      <c r="R139" s="222"/>
      <c r="S139" s="177">
        <f t="shared" si="197"/>
        <v>117.47293520795444</v>
      </c>
      <c r="T139" s="177">
        <f t="shared" si="198"/>
        <v>12</v>
      </c>
      <c r="U139" s="222">
        <f t="shared" si="199"/>
        <v>0.25528583363169827</v>
      </c>
      <c r="V139" s="222">
        <f t="shared" si="200"/>
        <v>0.99277824190104869</v>
      </c>
      <c r="W139" s="222">
        <f t="shared" si="201"/>
        <v>0.87526571530867969</v>
      </c>
      <c r="X139" s="202">
        <f t="shared" si="202"/>
        <v>350</v>
      </c>
      <c r="Y139" s="453">
        <f t="shared" si="203"/>
        <v>350</v>
      </c>
      <c r="AA139" s="222">
        <f t="shared" si="204"/>
        <v>0.39045553145336231</v>
      </c>
      <c r="AB139" s="178">
        <f t="shared" si="205"/>
        <v>1.3387046792686708</v>
      </c>
      <c r="AC139" s="178">
        <f t="shared" si="206"/>
        <v>0.18294662645103313</v>
      </c>
      <c r="AD139" s="178"/>
      <c r="AE139" s="178">
        <f t="shared" si="207"/>
        <v>0.99428571428571422</v>
      </c>
      <c r="AF139" s="562">
        <f t="shared" si="208"/>
        <v>402.29885057471273</v>
      </c>
      <c r="AG139" s="545">
        <f t="shared" si="209"/>
        <v>0.10091999999999998</v>
      </c>
      <c r="AI139" s="178">
        <f t="shared" si="210"/>
        <v>0.31091263510296052</v>
      </c>
      <c r="AJ139" s="178">
        <f t="shared" si="211"/>
        <v>0.31091263510296052</v>
      </c>
      <c r="AK139" s="178">
        <f t="shared" si="212"/>
        <v>1.2154908408170078</v>
      </c>
      <c r="AM139" s="562">
        <f t="shared" si="213"/>
        <v>115.99999999999999</v>
      </c>
      <c r="AN139" s="471">
        <f t="shared" si="214"/>
        <v>350</v>
      </c>
      <c r="AP139" s="471">
        <f t="shared" si="215"/>
        <v>115.99999999999999</v>
      </c>
      <c r="AQ139" s="471">
        <f t="shared" si="216"/>
        <v>350</v>
      </c>
      <c r="AS139" s="5">
        <f t="shared" si="245"/>
        <v>2.8571428571428572</v>
      </c>
      <c r="AT139" s="5">
        <f t="shared" si="217"/>
        <v>1.2091046920670685</v>
      </c>
      <c r="AU139" s="5">
        <f t="shared" si="218"/>
        <v>1.6480381650757887</v>
      </c>
      <c r="AV139" s="5"/>
      <c r="AW139" s="178">
        <f t="shared" si="219"/>
        <v>0.42318664222347396</v>
      </c>
      <c r="AX139" s="178">
        <f t="shared" si="241"/>
        <v>1.421</v>
      </c>
      <c r="AY139" s="178">
        <f t="shared" si="242"/>
        <v>0.17933856102888643</v>
      </c>
      <c r="AZ139" s="178">
        <f t="shared" si="246"/>
        <v>7.9235608440680902</v>
      </c>
      <c r="BD139" s="178">
        <f t="shared" si="247"/>
        <v>0.11677334467763108</v>
      </c>
      <c r="BE139" s="178">
        <f t="shared" si="243"/>
        <v>0.27266248876603028</v>
      </c>
      <c r="BG139" s="545">
        <f t="shared" si="220"/>
        <v>4.7726049095202904E-3</v>
      </c>
      <c r="BH139" s="545">
        <f t="shared" si="221"/>
        <v>3.7624315255397008E-2</v>
      </c>
      <c r="BI139" s="545">
        <f t="shared" si="222"/>
        <v>4.3749999999999995E-3</v>
      </c>
      <c r="BJ139" s="545">
        <f t="shared" si="223"/>
        <v>3.7191175E-2</v>
      </c>
      <c r="BK139">
        <f t="shared" si="224"/>
        <v>6.2640000000000005E-3</v>
      </c>
      <c r="BM139" s="471">
        <f t="shared" si="225"/>
        <v>90.227095164917301</v>
      </c>
      <c r="BN139" s="545">
        <f t="shared" si="226"/>
        <v>3.4799999999999998E-2</v>
      </c>
      <c r="BQ139" s="471">
        <f t="shared" si="227"/>
        <v>34.799999999999997</v>
      </c>
      <c r="BR139" s="545">
        <f t="shared" si="228"/>
        <v>1.2954213325840789E-3</v>
      </c>
      <c r="BS139" s="545">
        <f t="shared" si="229"/>
        <v>6.6910349502077035E-3</v>
      </c>
      <c r="BT139" s="545">
        <f t="shared" si="230"/>
        <v>6.1764089580766341E-3</v>
      </c>
      <c r="BU139" s="545"/>
      <c r="BV139" s="545">
        <f t="shared" si="231"/>
        <v>7.6125000000000012E-3</v>
      </c>
      <c r="BW139" s="471">
        <f t="shared" si="232"/>
        <v>21.775365240868418</v>
      </c>
      <c r="BX139" s="178">
        <f t="shared" si="233"/>
        <v>0.14680246040578571</v>
      </c>
      <c r="BY139" s="5">
        <f t="shared" si="234"/>
        <v>1.3919999999999999</v>
      </c>
      <c r="BZ139" s="178">
        <f t="shared" si="235"/>
        <v>0.90459954140762588</v>
      </c>
      <c r="CA139" s="5">
        <f t="shared" si="236"/>
        <v>90.459954140762591</v>
      </c>
      <c r="CD139" s="580">
        <f t="shared" si="237"/>
        <v>-50</v>
      </c>
      <c r="CE139">
        <f t="shared" si="238"/>
        <v>-50</v>
      </c>
    </row>
    <row r="140" spans="5:83" x14ac:dyDescent="0.2">
      <c r="E140" s="175">
        <v>30</v>
      </c>
      <c r="F140" s="222">
        <f t="shared" si="239"/>
        <v>0.12</v>
      </c>
      <c r="G140" s="222"/>
      <c r="H140" s="222">
        <f t="shared" si="190"/>
        <v>1.44</v>
      </c>
      <c r="I140" s="558">
        <f t="shared" si="191"/>
        <v>21.6</v>
      </c>
      <c r="J140" s="453">
        <f t="shared" si="192"/>
        <v>24.5</v>
      </c>
      <c r="K140" s="453">
        <f t="shared" si="193"/>
        <v>46.1</v>
      </c>
      <c r="L140" s="453"/>
      <c r="M140" s="222">
        <f t="shared" si="194"/>
        <v>0.53145336225596529</v>
      </c>
      <c r="N140" s="177">
        <f t="shared" si="240"/>
        <v>7.9064316702819957</v>
      </c>
      <c r="O140" s="177">
        <f t="shared" si="244"/>
        <v>1.44</v>
      </c>
      <c r="P140" s="222">
        <f t="shared" si="195"/>
        <v>0.65886930585683301</v>
      </c>
      <c r="Q140" s="222">
        <f t="shared" si="196"/>
        <v>12</v>
      </c>
      <c r="R140" s="222"/>
      <c r="S140" s="177">
        <f t="shared" si="197"/>
        <v>113.19879928229371</v>
      </c>
      <c r="T140" s="177">
        <f t="shared" si="198"/>
        <v>12</v>
      </c>
      <c r="U140" s="222">
        <f t="shared" si="199"/>
        <v>0.26408879341210167</v>
      </c>
      <c r="V140" s="222">
        <f t="shared" si="200"/>
        <v>1.0270119743803952</v>
      </c>
      <c r="W140" s="222">
        <f t="shared" si="201"/>
        <v>0.90544729169863425</v>
      </c>
      <c r="X140" s="202">
        <f t="shared" si="202"/>
        <v>350</v>
      </c>
      <c r="Y140" s="453">
        <f t="shared" si="203"/>
        <v>350</v>
      </c>
      <c r="AA140" s="222">
        <f t="shared" si="204"/>
        <v>0.39045553145336231</v>
      </c>
      <c r="AB140" s="178">
        <f t="shared" si="205"/>
        <v>1.3387046792686708</v>
      </c>
      <c r="AC140" s="178">
        <f t="shared" si="206"/>
        <v>0.18294662645103313</v>
      </c>
      <c r="AD140" s="178"/>
      <c r="AE140" s="178">
        <f t="shared" si="207"/>
        <v>0.99428571428571422</v>
      </c>
      <c r="AF140" s="562">
        <f t="shared" si="208"/>
        <v>416.17122473246144</v>
      </c>
      <c r="AG140" s="545">
        <f t="shared" si="209"/>
        <v>0.10091999999999998</v>
      </c>
      <c r="AI140" s="178">
        <f t="shared" si="210"/>
        <v>0.31622776601683794</v>
      </c>
      <c r="AJ140" s="178">
        <f t="shared" si="211"/>
        <v>0.31622776601683794</v>
      </c>
      <c r="AK140" s="178">
        <f t="shared" si="212"/>
        <v>1.2194279748272874</v>
      </c>
      <c r="AM140" s="562">
        <f t="shared" si="213"/>
        <v>120</v>
      </c>
      <c r="AN140" s="471">
        <f t="shared" si="214"/>
        <v>350</v>
      </c>
      <c r="AP140" s="471">
        <f t="shared" si="215"/>
        <v>120</v>
      </c>
      <c r="AQ140" s="471">
        <f t="shared" si="216"/>
        <v>350</v>
      </c>
      <c r="AS140" s="5">
        <f t="shared" si="245"/>
        <v>2.8571428571428572</v>
      </c>
      <c r="AT140" s="5">
        <f t="shared" si="217"/>
        <v>1.2297746456210361</v>
      </c>
      <c r="AU140" s="5">
        <f t="shared" si="218"/>
        <v>1.6273682115218211</v>
      </c>
      <c r="AV140" s="5"/>
      <c r="AW140" s="178">
        <f t="shared" si="219"/>
        <v>0.43042112596736265</v>
      </c>
      <c r="AX140" s="178">
        <f t="shared" si="241"/>
        <v>1.47</v>
      </c>
      <c r="AY140" s="178">
        <f t="shared" si="242"/>
        <v>0.18011665490572684</v>
      </c>
      <c r="AZ140" s="178">
        <f t="shared" si="246"/>
        <v>8.1613774182592884</v>
      </c>
      <c r="BD140" s="178">
        <f t="shared" si="247"/>
        <v>0.11978051120937311</v>
      </c>
      <c r="BE140" s="178">
        <f t="shared" si="243"/>
        <v>0.27557911726220896</v>
      </c>
      <c r="BG140" s="545">
        <f t="shared" si="220"/>
        <v>5.0215798029525647E-3</v>
      </c>
      <c r="BH140" s="545">
        <f t="shared" si="221"/>
        <v>3.8267512535112597E-2</v>
      </c>
      <c r="BI140" s="545">
        <f t="shared" si="222"/>
        <v>4.3749999999999995E-3</v>
      </c>
      <c r="BJ140" s="545">
        <f t="shared" si="223"/>
        <v>3.7191175E-2</v>
      </c>
      <c r="BK140">
        <f t="shared" si="224"/>
        <v>6.2640000000000005E-3</v>
      </c>
      <c r="BM140" s="471">
        <f t="shared" si="225"/>
        <v>91.119267338065157</v>
      </c>
      <c r="BN140" s="545">
        <f t="shared" si="226"/>
        <v>3.5999999999999997E-2</v>
      </c>
      <c r="BQ140" s="471">
        <f t="shared" si="227"/>
        <v>36</v>
      </c>
      <c r="BR140" s="545">
        <f t="shared" si="228"/>
        <v>1.3630002322299818E-3</v>
      </c>
      <c r="BS140" s="545">
        <f t="shared" si="229"/>
        <v>6.8349464883916489E-3</v>
      </c>
      <c r="BT140" s="545">
        <f t="shared" si="230"/>
        <v>6.4437712556905625E-3</v>
      </c>
      <c r="BU140" s="545"/>
      <c r="BV140" s="545">
        <f t="shared" si="231"/>
        <v>7.8750000000000018E-3</v>
      </c>
      <c r="BW140" s="471">
        <f t="shared" si="232"/>
        <v>22.516717976312197</v>
      </c>
      <c r="BX140" s="178">
        <f t="shared" si="233"/>
        <v>0.14963598531437736</v>
      </c>
      <c r="BY140" s="5">
        <f t="shared" si="234"/>
        <v>1.44</v>
      </c>
      <c r="BZ140" s="178">
        <f t="shared" si="235"/>
        <v>0.90586776677379732</v>
      </c>
      <c r="CA140" s="5">
        <f t="shared" si="236"/>
        <v>90.586776677379731</v>
      </c>
      <c r="CD140" s="580">
        <f t="shared" si="237"/>
        <v>-50</v>
      </c>
      <c r="CE140">
        <f t="shared" si="238"/>
        <v>-50</v>
      </c>
    </row>
    <row r="141" spans="5:83" x14ac:dyDescent="0.2">
      <c r="E141" s="175">
        <v>31</v>
      </c>
      <c r="F141" s="222">
        <f t="shared" si="239"/>
        <v>0.124</v>
      </c>
      <c r="G141" s="222"/>
      <c r="H141" s="222">
        <f t="shared" si="190"/>
        <v>1.488</v>
      </c>
      <c r="I141" s="558">
        <f t="shared" si="191"/>
        <v>21.6</v>
      </c>
      <c r="J141" s="453">
        <f t="shared" si="192"/>
        <v>24.5</v>
      </c>
      <c r="K141" s="453">
        <f t="shared" si="193"/>
        <v>46.1</v>
      </c>
      <c r="L141" s="453"/>
      <c r="M141" s="222">
        <f t="shared" si="194"/>
        <v>0.53145336225596529</v>
      </c>
      <c r="N141" s="177">
        <f t="shared" si="240"/>
        <v>7.9064316702819957</v>
      </c>
      <c r="O141" s="177">
        <f t="shared" si="244"/>
        <v>1.488</v>
      </c>
      <c r="P141" s="222">
        <f t="shared" si="195"/>
        <v>0.65886930585683301</v>
      </c>
      <c r="Q141" s="222">
        <f t="shared" si="196"/>
        <v>12</v>
      </c>
      <c r="R141" s="222"/>
      <c r="S141" s="177">
        <f t="shared" si="197"/>
        <v>109.20047514305962</v>
      </c>
      <c r="T141" s="177">
        <f t="shared" si="198"/>
        <v>12</v>
      </c>
      <c r="U141" s="222">
        <f t="shared" si="199"/>
        <v>0.27289175319250508</v>
      </c>
      <c r="V141" s="222">
        <f t="shared" si="200"/>
        <v>1.0612457068597418</v>
      </c>
      <c r="W141" s="222">
        <f t="shared" si="201"/>
        <v>0.93562886808858881</v>
      </c>
      <c r="X141" s="202">
        <f t="shared" si="202"/>
        <v>350</v>
      </c>
      <c r="Y141" s="453">
        <f t="shared" si="203"/>
        <v>350</v>
      </c>
      <c r="AA141" s="222">
        <f t="shared" si="204"/>
        <v>0.39045553145336231</v>
      </c>
      <c r="AB141" s="178">
        <f t="shared" si="205"/>
        <v>1.3387046792686708</v>
      </c>
      <c r="AC141" s="178">
        <f t="shared" si="206"/>
        <v>0.18294662645103313</v>
      </c>
      <c r="AD141" s="178"/>
      <c r="AE141" s="178">
        <f t="shared" si="207"/>
        <v>0.99428571428571422</v>
      </c>
      <c r="AF141" s="562">
        <f t="shared" si="208"/>
        <v>430.04359889021015</v>
      </c>
      <c r="AG141" s="545">
        <f t="shared" si="209"/>
        <v>0.10091999999999998</v>
      </c>
      <c r="AI141" s="178">
        <f t="shared" si="210"/>
        <v>0.32145502536643183</v>
      </c>
      <c r="AJ141" s="178">
        <f t="shared" si="211"/>
        <v>0.32145502536643183</v>
      </c>
      <c r="AK141" s="178">
        <f t="shared" si="212"/>
        <v>1.2233000187899494</v>
      </c>
      <c r="AM141" s="562">
        <f t="shared" si="213"/>
        <v>124</v>
      </c>
      <c r="AN141" s="471">
        <f t="shared" si="214"/>
        <v>350</v>
      </c>
      <c r="AP141" s="471">
        <f t="shared" si="215"/>
        <v>124</v>
      </c>
      <c r="AQ141" s="471">
        <f t="shared" si="216"/>
        <v>350</v>
      </c>
      <c r="AS141" s="5">
        <f t="shared" si="245"/>
        <v>2.8571428571428572</v>
      </c>
      <c r="AT141" s="5">
        <f t="shared" si="217"/>
        <v>1.2501028764250126</v>
      </c>
      <c r="AU141" s="5">
        <f t="shared" si="218"/>
        <v>1.6070399807178446</v>
      </c>
      <c r="AV141" s="5"/>
      <c r="AW141" s="178">
        <f t="shared" si="219"/>
        <v>0.43753600674875442</v>
      </c>
      <c r="AX141" s="178">
        <f t="shared" si="241"/>
        <v>1.5189999999999999</v>
      </c>
      <c r="AY141" s="178">
        <f t="shared" si="242"/>
        <v>0.1808068772182837</v>
      </c>
      <c r="AZ141" s="178">
        <f t="shared" si="246"/>
        <v>8.4012291090352083</v>
      </c>
      <c r="BD141" s="178">
        <f t="shared" si="247"/>
        <v>0.12276271696611125</v>
      </c>
      <c r="BE141" s="178">
        <f t="shared" si="243"/>
        <v>0.27837930790590676</v>
      </c>
      <c r="BG141" s="545">
        <f t="shared" si="220"/>
        <v>5.274739636915539E-3</v>
      </c>
      <c r="BH141" s="545">
        <f t="shared" si="221"/>
        <v>3.890007625715533E-2</v>
      </c>
      <c r="BI141" s="545">
        <f t="shared" si="222"/>
        <v>4.3749999999999995E-3</v>
      </c>
      <c r="BJ141" s="545">
        <f t="shared" si="223"/>
        <v>3.7191175E-2</v>
      </c>
      <c r="BK141">
        <f t="shared" si="224"/>
        <v>6.2640000000000005E-3</v>
      </c>
      <c r="BM141" s="471">
        <f t="shared" si="225"/>
        <v>92.004990894070872</v>
      </c>
      <c r="BN141" s="545">
        <f t="shared" si="226"/>
        <v>3.7199999999999997E-2</v>
      </c>
      <c r="BQ141" s="471">
        <f t="shared" si="227"/>
        <v>37.199999999999996</v>
      </c>
      <c r="BR141" s="545">
        <f t="shared" si="228"/>
        <v>1.4317150443056465E-3</v>
      </c>
      <c r="BS141" s="545">
        <f t="shared" si="229"/>
        <v>6.9745535163154484E-3</v>
      </c>
      <c r="BT141" s="545">
        <f t="shared" si="230"/>
        <v>6.7133712458920412E-3</v>
      </c>
      <c r="BU141" s="545"/>
      <c r="BV141" s="545">
        <f t="shared" si="231"/>
        <v>8.1375000000000006E-3</v>
      </c>
      <c r="BW141" s="471">
        <f t="shared" si="232"/>
        <v>23.257139806513138</v>
      </c>
      <c r="BX141" s="178">
        <f t="shared" si="233"/>
        <v>0.15246213070058401</v>
      </c>
      <c r="BY141" s="5">
        <f t="shared" si="234"/>
        <v>1.488</v>
      </c>
      <c r="BZ141" s="178">
        <f t="shared" si="235"/>
        <v>0.90706147502748335</v>
      </c>
      <c r="CA141" s="5">
        <f t="shared" si="236"/>
        <v>90.706147502748337</v>
      </c>
      <c r="CD141" s="580">
        <f t="shared" si="237"/>
        <v>-50</v>
      </c>
      <c r="CE141">
        <f t="shared" si="238"/>
        <v>-50</v>
      </c>
    </row>
    <row r="142" spans="5:83" x14ac:dyDescent="0.2">
      <c r="E142" s="175">
        <v>32</v>
      </c>
      <c r="F142" s="222">
        <f t="shared" si="239"/>
        <v>0.128</v>
      </c>
      <c r="G142" s="222"/>
      <c r="H142" s="222">
        <f t="shared" ref="H142:H173" si="248">F142*Vout</f>
        <v>1.536</v>
      </c>
      <c r="I142" s="558">
        <f t="shared" ref="I142:I173" si="249">VIN_min</f>
        <v>21.6</v>
      </c>
      <c r="J142" s="453">
        <f t="shared" ref="J142:J173" si="250">(T142+Vfwd1)*Nps</f>
        <v>24.5</v>
      </c>
      <c r="K142" s="453">
        <f t="shared" ref="K142:K173" si="251">(Vout+Vfwd1)*Nps+I142</f>
        <v>46.1</v>
      </c>
      <c r="L142" s="453"/>
      <c r="M142" s="222">
        <f t="shared" ref="M142:M173" si="252">(Vout+Vfwd1)*Nps/((Vout+Vfwd1)*Nps+I142)</f>
        <v>0.53145336225596529</v>
      </c>
      <c r="N142" s="177">
        <f t="shared" ref="N142:N173" si="253">M142*I142*Isw_max*0.5*Efficiency</f>
        <v>7.9064316702819957</v>
      </c>
      <c r="O142" s="177">
        <f t="shared" si="244"/>
        <v>1.536</v>
      </c>
      <c r="P142" s="222">
        <f t="shared" ref="P142:P173" si="254">N142/Vout</f>
        <v>0.65886930585683301</v>
      </c>
      <c r="Q142" s="222">
        <f t="shared" ref="Q142:Q173" si="255">MIN(Vout,N142/F142)</f>
        <v>12</v>
      </c>
      <c r="R142" s="222"/>
      <c r="S142" s="177">
        <f t="shared" ref="S142:S173" si="256">(SQRT(Isw_max^2*Nps^2*I142^2+4*Isw_max*F142/Efficiency*(Nps^2*Vfwd1*I142-Nps*I142^2)+4*(F142/Efficiency)^2*Nps^2*Vfwd1^2+8*(F142/Efficiency)^2*Nps*Vfwd1*I142+4*(F142/Efficiency)^2*I142^2)-2*F142/Efficiency*I142-2*F142/Efficiency*Nps*Vfwd1+Isw_max*Nps*I142)/(4*F142/Efficiency*Nps)</f>
        <v>105.45210598349901</v>
      </c>
      <c r="T142" s="177">
        <f t="shared" ref="T142:T173" si="257">MIN(Vout, S142)</f>
        <v>12</v>
      </c>
      <c r="U142" s="222">
        <f t="shared" ref="U142:U173" si="258">MIN(2*Vout*F142/(Efficiency*I142*M142), Isw_max)</f>
        <v>0.28169471297290843</v>
      </c>
      <c r="V142" s="222">
        <f t="shared" ref="V142:V173" si="259">L*U142/I142*1000000</f>
        <v>1.0954794393390883</v>
      </c>
      <c r="W142" s="222">
        <f t="shared" ref="W142:W173" si="260">L*U142/J142*1000000</f>
        <v>0.96581044447854325</v>
      </c>
      <c r="X142" s="202">
        <f t="shared" ref="X142:X173" si="261">IF(1/((350000*L)*(1/I142+1/J142))&gt;Isw_min, 350, 0.001/((Isw_min*L)*(1/I142+1/J142)))</f>
        <v>350</v>
      </c>
      <c r="Y142" s="453">
        <f t="shared" si="203"/>
        <v>350</v>
      </c>
      <c r="AA142" s="222">
        <f t="shared" ref="AA142:AA173" si="262">1/((X142*1000*L)*(1/I142+1/J142))</f>
        <v>0.39045553145336231</v>
      </c>
      <c r="AB142" s="178">
        <f t="shared" ref="AB142:AB173" si="263">L*AA142/J142*1000000</f>
        <v>1.3387046792686708</v>
      </c>
      <c r="AC142" s="178">
        <f t="shared" ref="AC142:AC173" si="264">0.5*AB142*AA142*Nps*X142/1000</f>
        <v>0.18294662645103313</v>
      </c>
      <c r="AD142" s="178"/>
      <c r="AE142" s="178">
        <f t="shared" ref="AE142:AE173" si="265">L*Isw_min/J142*1000000</f>
        <v>0.99428571428571422</v>
      </c>
      <c r="AF142" s="562">
        <f t="shared" ref="AF142:AF173" si="266">MAX(10000,F142/(0.5*AE142/1000000*Isw_min*Nps))/1000</f>
        <v>443.91597304795891</v>
      </c>
      <c r="AG142" s="545">
        <f t="shared" ref="AG142:AG173" si="267">0.5*AE142/1000000*Isw_min*Nps*X142*1000</f>
        <v>0.10091999999999998</v>
      </c>
      <c r="AI142" s="178">
        <f t="shared" ref="AI142:AI173" si="268">SQRT(F142/(0.5*L/J142*Fsw_DCM*Nps))</f>
        <v>0.32659863237109044</v>
      </c>
      <c r="AJ142" s="178">
        <f t="shared" ref="AJ142:AJ173" si="269">MAX(IF(F142&gt;AC142,U142,AI142),Isw_min)</f>
        <v>0.32659863237109044</v>
      </c>
      <c r="AK142" s="178">
        <f t="shared" ref="AK142:AK173" si="270">IF(F142&gt;AG142, (AJ142-Isw_min)/1.08*0.8+1.2, AF142*0.2/350+1)</f>
        <v>1.2271100980526595</v>
      </c>
      <c r="AM142" s="562">
        <f t="shared" ref="AM142:AM173" si="271">F142*1000</f>
        <v>128</v>
      </c>
      <c r="AN142" s="471">
        <f t="shared" ref="AN142:AN173" si="272">IF(F142&gt;AG142, Y142, AF142)</f>
        <v>350</v>
      </c>
      <c r="AP142" s="471">
        <f t="shared" ref="AP142:AP173" si="273">IF(H142&gt;N142, "",AM142)</f>
        <v>128</v>
      </c>
      <c r="AQ142" s="471">
        <f t="shared" ref="AQ142:AQ173" si="274">IF(H142&gt;N142, "",AN142)</f>
        <v>350</v>
      </c>
      <c r="AS142" s="5">
        <f t="shared" si="245"/>
        <v>2.8571428571428572</v>
      </c>
      <c r="AT142" s="5">
        <f t="shared" ref="AT142:AT173" si="275">L*AJ142/I142*1000000</f>
        <v>1.2701057925542403</v>
      </c>
      <c r="AU142" s="5">
        <f t="shared" si="218"/>
        <v>1.5870370645886169</v>
      </c>
      <c r="AV142" s="5"/>
      <c r="AW142" s="178">
        <f t="shared" si="219"/>
        <v>0.4445370273939841</v>
      </c>
      <c r="AX142" s="178">
        <f t="shared" si="241"/>
        <v>1.5680000000000001</v>
      </c>
      <c r="AY142" s="178">
        <f t="shared" si="242"/>
        <v>0.18141344718590524</v>
      </c>
      <c r="AZ142" s="178">
        <f t="shared" si="246"/>
        <v>8.6432402025478101</v>
      </c>
      <c r="BD142" s="178">
        <f t="shared" si="247"/>
        <v>0.12572096473543434</v>
      </c>
      <c r="BE142" s="178">
        <f t="shared" si="243"/>
        <v>0.2810679247551896</v>
      </c>
      <c r="BG142" s="545">
        <f t="shared" si="220"/>
        <v>5.5320163409029134E-3</v>
      </c>
      <c r="BH142" s="545">
        <f t="shared" si="221"/>
        <v>3.9522516999806578E-2</v>
      </c>
      <c r="BI142" s="545">
        <f t="shared" si="222"/>
        <v>4.3749999999999995E-3</v>
      </c>
      <c r="BJ142" s="545">
        <f t="shared" si="223"/>
        <v>3.7191175E-2</v>
      </c>
      <c r="BK142">
        <f t="shared" si="224"/>
        <v>6.2640000000000005E-3</v>
      </c>
      <c r="BM142" s="471">
        <f t="shared" si="225"/>
        <v>92.88470834070948</v>
      </c>
      <c r="BN142" s="545">
        <f t="shared" si="226"/>
        <v>3.8399999999999997E-2</v>
      </c>
      <c r="BQ142" s="471">
        <f t="shared" si="227"/>
        <v>38.4</v>
      </c>
      <c r="BR142" s="545">
        <f t="shared" si="228"/>
        <v>1.5015472925307908E-3</v>
      </c>
      <c r="BS142" s="545">
        <f t="shared" si="229"/>
        <v>7.1099260493570028E-3</v>
      </c>
      <c r="BT142" s="545">
        <f t="shared" si="230"/>
        <v>6.9851545528186836E-3</v>
      </c>
      <c r="BU142" s="545"/>
      <c r="BV142" s="545">
        <f t="shared" si="231"/>
        <v>8.400000000000003E-3</v>
      </c>
      <c r="BW142" s="471">
        <f t="shared" si="232"/>
        <v>23.996627894706481</v>
      </c>
      <c r="BX142" s="178">
        <f t="shared" si="233"/>
        <v>0.15528133623541596</v>
      </c>
      <c r="BY142" s="5">
        <f t="shared" si="234"/>
        <v>1.536</v>
      </c>
      <c r="BZ142" s="178">
        <f t="shared" si="235"/>
        <v>0.90818716383339682</v>
      </c>
      <c r="CA142" s="5">
        <f t="shared" si="236"/>
        <v>90.818716383339677</v>
      </c>
      <c r="CD142" s="580">
        <f t="shared" ref="CD142:CD173" si="276">IF(ABS(F142-Ioutmax_Vinmin)&lt;Iout/200, AN142, -50)</f>
        <v>-50</v>
      </c>
      <c r="CE142">
        <f t="shared" ref="CE142:CE173" si="277">IF(ABS(F142-Ioutmax_Vinmin)&lt;Iout/200, N142*BZ142, -50)</f>
        <v>-50</v>
      </c>
    </row>
    <row r="143" spans="5:83" x14ac:dyDescent="0.2">
      <c r="E143" s="175">
        <v>33</v>
      </c>
      <c r="F143" s="222">
        <f t="shared" ref="F143:F174" si="278">IF(PLOT_TYPE=1, E143/100*Iout_max, min_I*EXP(N143*rr/100))</f>
        <v>0.13200000000000001</v>
      </c>
      <c r="G143" s="222"/>
      <c r="H143" s="222">
        <f t="shared" si="248"/>
        <v>1.5840000000000001</v>
      </c>
      <c r="I143" s="558">
        <f t="shared" si="249"/>
        <v>21.6</v>
      </c>
      <c r="J143" s="453">
        <f t="shared" si="250"/>
        <v>24.5</v>
      </c>
      <c r="K143" s="453">
        <f t="shared" si="251"/>
        <v>46.1</v>
      </c>
      <c r="L143" s="453"/>
      <c r="M143" s="222">
        <f t="shared" si="252"/>
        <v>0.53145336225596529</v>
      </c>
      <c r="N143" s="177">
        <f t="shared" si="253"/>
        <v>7.9064316702819957</v>
      </c>
      <c r="O143" s="177">
        <f t="shared" si="244"/>
        <v>1.5840000000000001</v>
      </c>
      <c r="P143" s="222">
        <f t="shared" si="254"/>
        <v>0.65886930585683301</v>
      </c>
      <c r="Q143" s="222">
        <f t="shared" si="255"/>
        <v>12</v>
      </c>
      <c r="R143" s="222"/>
      <c r="S143" s="177">
        <f t="shared" si="256"/>
        <v>101.9309691616423</v>
      </c>
      <c r="T143" s="177">
        <f t="shared" si="257"/>
        <v>12</v>
      </c>
      <c r="U143" s="222">
        <f t="shared" si="258"/>
        <v>0.29049767275331184</v>
      </c>
      <c r="V143" s="222">
        <f t="shared" si="259"/>
        <v>1.1297131718184348</v>
      </c>
      <c r="W143" s="222">
        <f t="shared" si="260"/>
        <v>0.9959920208684977</v>
      </c>
      <c r="X143" s="202">
        <f t="shared" si="261"/>
        <v>350</v>
      </c>
      <c r="Y143" s="453">
        <f t="shared" si="203"/>
        <v>350</v>
      </c>
      <c r="AA143" s="222">
        <f t="shared" si="262"/>
        <v>0.39045553145336231</v>
      </c>
      <c r="AB143" s="178">
        <f t="shared" si="263"/>
        <v>1.3387046792686708</v>
      </c>
      <c r="AC143" s="178">
        <f t="shared" si="264"/>
        <v>0.18294662645103313</v>
      </c>
      <c r="AD143" s="178"/>
      <c r="AE143" s="178">
        <f t="shared" si="265"/>
        <v>0.99428571428571422</v>
      </c>
      <c r="AF143" s="562">
        <f t="shared" si="266"/>
        <v>457.78834720570762</v>
      </c>
      <c r="AG143" s="545">
        <f t="shared" si="267"/>
        <v>0.10091999999999998</v>
      </c>
      <c r="AI143" s="178">
        <f t="shared" si="268"/>
        <v>0.33166247903554003</v>
      </c>
      <c r="AJ143" s="178">
        <f t="shared" si="269"/>
        <v>0.33166247903554003</v>
      </c>
      <c r="AK143" s="178">
        <f t="shared" si="270"/>
        <v>1.2308610955818815</v>
      </c>
      <c r="AM143" s="562">
        <f t="shared" si="271"/>
        <v>132</v>
      </c>
      <c r="AN143" s="471">
        <f t="shared" si="272"/>
        <v>350</v>
      </c>
      <c r="AP143" s="471">
        <f t="shared" si="273"/>
        <v>132</v>
      </c>
      <c r="AQ143" s="471">
        <f t="shared" si="274"/>
        <v>350</v>
      </c>
      <c r="AS143" s="5">
        <f t="shared" si="245"/>
        <v>2.8571428571428572</v>
      </c>
      <c r="AT143" s="5">
        <f t="shared" si="275"/>
        <v>1.2897985295826555</v>
      </c>
      <c r="AU143" s="5">
        <f t="shared" si="218"/>
        <v>1.5673443275602017</v>
      </c>
      <c r="AV143" s="5"/>
      <c r="AW143" s="178">
        <f t="shared" si="219"/>
        <v>0.45142948535392941</v>
      </c>
      <c r="AX143" s="178">
        <f t="shared" si="241"/>
        <v>1.6170000000000002</v>
      </c>
      <c r="AY143" s="178">
        <f t="shared" si="242"/>
        <v>0.1819402568133178</v>
      </c>
      <c r="AZ143" s="178">
        <f t="shared" si="246"/>
        <v>8.8875327996219351</v>
      </c>
      <c r="BD143" s="178">
        <f t="shared" si="247"/>
        <v>0.12865618703730269</v>
      </c>
      <c r="BE143" s="178">
        <f t="shared" si="243"/>
        <v>0.28364944705526407</v>
      </c>
      <c r="BG143" s="545">
        <f t="shared" si="220"/>
        <v>5.7933450620420946E-3</v>
      </c>
      <c r="BH143" s="545">
        <f t="shared" si="221"/>
        <v>4.0135305744288287E-2</v>
      </c>
      <c r="BI143" s="545">
        <f t="shared" si="222"/>
        <v>4.3749999999999995E-3</v>
      </c>
      <c r="BJ143" s="545">
        <f t="shared" si="223"/>
        <v>3.7191175E-2</v>
      </c>
      <c r="BK143">
        <f t="shared" si="224"/>
        <v>6.2640000000000005E-3</v>
      </c>
      <c r="BM143" s="471">
        <f t="shared" si="225"/>
        <v>93.758825806330378</v>
      </c>
      <c r="BN143" s="545">
        <f t="shared" si="226"/>
        <v>3.9600000000000003E-2</v>
      </c>
      <c r="BQ143" s="471">
        <f t="shared" si="227"/>
        <v>39.6</v>
      </c>
      <c r="BR143" s="545">
        <f t="shared" si="228"/>
        <v>1.5724793739828543E-3</v>
      </c>
      <c r="BS143" s="545">
        <f t="shared" si="229"/>
        <v>7.2411307933281342E-3</v>
      </c>
      <c r="BT143" s="545">
        <f t="shared" si="230"/>
        <v>7.2590697875097249E-3</v>
      </c>
      <c r="BU143" s="545"/>
      <c r="BV143" s="545">
        <f t="shared" si="231"/>
        <v>8.6625000000000018E-3</v>
      </c>
      <c r="BW143" s="471">
        <f t="shared" si="232"/>
        <v>24.735179954820719</v>
      </c>
      <c r="BX143" s="178">
        <f t="shared" si="233"/>
        <v>0.1580940057611511</v>
      </c>
      <c r="BY143" s="5">
        <f t="shared" si="234"/>
        <v>1.5840000000000001</v>
      </c>
      <c r="BZ143" s="178">
        <f t="shared" si="235"/>
        <v>0.90925058852258833</v>
      </c>
      <c r="CA143" s="5">
        <f t="shared" si="236"/>
        <v>90.925058852258829</v>
      </c>
      <c r="CD143" s="580">
        <f t="shared" si="276"/>
        <v>-50</v>
      </c>
      <c r="CE143">
        <f t="shared" si="277"/>
        <v>-50</v>
      </c>
    </row>
    <row r="144" spans="5:83" x14ac:dyDescent="0.2">
      <c r="E144" s="175">
        <v>34</v>
      </c>
      <c r="F144" s="222">
        <f t="shared" si="278"/>
        <v>0.13600000000000001</v>
      </c>
      <c r="G144" s="222"/>
      <c r="H144" s="222">
        <f t="shared" si="248"/>
        <v>1.6320000000000001</v>
      </c>
      <c r="I144" s="558">
        <f t="shared" si="249"/>
        <v>21.6</v>
      </c>
      <c r="J144" s="453">
        <f t="shared" si="250"/>
        <v>24.5</v>
      </c>
      <c r="K144" s="453">
        <f t="shared" si="251"/>
        <v>46.1</v>
      </c>
      <c r="L144" s="453"/>
      <c r="M144" s="222">
        <f t="shared" si="252"/>
        <v>0.53145336225596529</v>
      </c>
      <c r="N144" s="177">
        <f t="shared" si="253"/>
        <v>7.9064316702819957</v>
      </c>
      <c r="O144" s="177">
        <f t="shared" si="244"/>
        <v>1.6320000000000001</v>
      </c>
      <c r="P144" s="222">
        <f t="shared" si="254"/>
        <v>0.65886930585683301</v>
      </c>
      <c r="Q144" s="222">
        <f t="shared" si="255"/>
        <v>12</v>
      </c>
      <c r="R144" s="222"/>
      <c r="S144" s="177">
        <f t="shared" si="256"/>
        <v>98.61701529380808</v>
      </c>
      <c r="T144" s="177">
        <f t="shared" si="257"/>
        <v>12</v>
      </c>
      <c r="U144" s="222">
        <f t="shared" si="258"/>
        <v>0.29930063253371525</v>
      </c>
      <c r="V144" s="222">
        <f t="shared" si="259"/>
        <v>1.1639469042977815</v>
      </c>
      <c r="W144" s="222">
        <f t="shared" si="260"/>
        <v>1.0261735972584523</v>
      </c>
      <c r="X144" s="202">
        <f t="shared" si="261"/>
        <v>350</v>
      </c>
      <c r="Y144" s="453">
        <f t="shared" si="203"/>
        <v>350</v>
      </c>
      <c r="AA144" s="222">
        <f t="shared" si="262"/>
        <v>0.39045553145336231</v>
      </c>
      <c r="AB144" s="178">
        <f t="shared" si="263"/>
        <v>1.3387046792686708</v>
      </c>
      <c r="AC144" s="178">
        <f t="shared" si="264"/>
        <v>0.18294662645103313</v>
      </c>
      <c r="AD144" s="178"/>
      <c r="AE144" s="178">
        <f t="shared" si="265"/>
        <v>0.99428571428571422</v>
      </c>
      <c r="AF144" s="562">
        <f t="shared" si="266"/>
        <v>471.66072136345633</v>
      </c>
      <c r="AG144" s="545">
        <f t="shared" si="267"/>
        <v>0.10091999999999998</v>
      </c>
      <c r="AI144" s="178">
        <f t="shared" si="268"/>
        <v>0.33665016461206926</v>
      </c>
      <c r="AJ144" s="178">
        <f t="shared" si="269"/>
        <v>0.33665016461206926</v>
      </c>
      <c r="AK144" s="178">
        <f t="shared" si="270"/>
        <v>1.2345556774904216</v>
      </c>
      <c r="AM144" s="562">
        <f t="shared" si="271"/>
        <v>136</v>
      </c>
      <c r="AN144" s="471">
        <f t="shared" si="272"/>
        <v>350</v>
      </c>
      <c r="AP144" s="471">
        <f t="shared" si="273"/>
        <v>136</v>
      </c>
      <c r="AQ144" s="471">
        <f t="shared" si="274"/>
        <v>350</v>
      </c>
      <c r="AS144" s="5">
        <f t="shared" si="245"/>
        <v>2.8571428571428572</v>
      </c>
      <c r="AT144" s="5">
        <f t="shared" si="275"/>
        <v>1.3091950846024913</v>
      </c>
      <c r="AU144" s="5">
        <f t="shared" si="218"/>
        <v>1.5479477725403659</v>
      </c>
      <c r="AV144" s="5"/>
      <c r="AW144" s="178">
        <f t="shared" si="219"/>
        <v>0.45821827961087197</v>
      </c>
      <c r="AX144" s="178">
        <f t="shared" si="241"/>
        <v>1.6659999999999997</v>
      </c>
      <c r="AY144" s="178">
        <f t="shared" si="242"/>
        <v>0.18239090535281002</v>
      </c>
      <c r="AZ144" s="178">
        <f t="shared" si="246"/>
        <v>9.1342273715750935</v>
      </c>
      <c r="BD144" s="178">
        <f t="shared" si="247"/>
        <v>0.13156925302233483</v>
      </c>
      <c r="BE144" s="178">
        <f t="shared" si="243"/>
        <v>0.28612800937288618</v>
      </c>
      <c r="BG144" s="545">
        <f t="shared" si="220"/>
        <v>6.0586639192993065E-3</v>
      </c>
      <c r="BH144" s="545">
        <f t="shared" si="221"/>
        <v>4.0738878045118034E-2</v>
      </c>
      <c r="BI144" s="545">
        <f t="shared" si="222"/>
        <v>4.3749999999999995E-3</v>
      </c>
      <c r="BJ144" s="545">
        <f t="shared" si="223"/>
        <v>3.7191175E-2</v>
      </c>
      <c r="BK144">
        <f t="shared" si="224"/>
        <v>6.2640000000000005E-3</v>
      </c>
      <c r="BM144" s="471">
        <f t="shared" si="225"/>
        <v>94.627716964417331</v>
      </c>
      <c r="BN144" s="545">
        <f t="shared" si="226"/>
        <v>4.0800000000000003E-2</v>
      </c>
      <c r="BQ144" s="471">
        <f t="shared" si="227"/>
        <v>40.800000000000004</v>
      </c>
      <c r="BR144" s="545">
        <f t="shared" si="228"/>
        <v>1.6444944923812404E-3</v>
      </c>
      <c r="BS144" s="545">
        <f t="shared" si="229"/>
        <v>7.3682313972921404E-3</v>
      </c>
      <c r="BT144" s="545">
        <f t="shared" si="230"/>
        <v>7.535068297881144E-3</v>
      </c>
      <c r="BU144" s="545"/>
      <c r="BV144" s="545">
        <f t="shared" si="231"/>
        <v>8.9250000000000006E-3</v>
      </c>
      <c r="BW144" s="471">
        <f t="shared" si="232"/>
        <v>25.472794187554527</v>
      </c>
      <c r="BX144" s="178">
        <f t="shared" si="233"/>
        <v>0.16090051115197188</v>
      </c>
      <c r="BY144" s="5">
        <f t="shared" si="234"/>
        <v>1.6320000000000001</v>
      </c>
      <c r="BZ144" s="178">
        <f t="shared" si="235"/>
        <v>0.91025686581538745</v>
      </c>
      <c r="CA144" s="5">
        <f t="shared" si="236"/>
        <v>91.02568658153875</v>
      </c>
      <c r="CD144" s="580">
        <f t="shared" si="276"/>
        <v>-50</v>
      </c>
      <c r="CE144">
        <f t="shared" si="277"/>
        <v>-50</v>
      </c>
    </row>
    <row r="145" spans="5:83" x14ac:dyDescent="0.2">
      <c r="E145" s="175">
        <v>35</v>
      </c>
      <c r="F145" s="222">
        <f t="shared" si="278"/>
        <v>0.13999999999999999</v>
      </c>
      <c r="G145" s="222"/>
      <c r="H145" s="222">
        <f t="shared" si="248"/>
        <v>1.6799999999999997</v>
      </c>
      <c r="I145" s="558">
        <f t="shared" si="249"/>
        <v>21.6</v>
      </c>
      <c r="J145" s="453">
        <f t="shared" si="250"/>
        <v>24.5</v>
      </c>
      <c r="K145" s="453">
        <f t="shared" si="251"/>
        <v>46.1</v>
      </c>
      <c r="L145" s="453"/>
      <c r="M145" s="222">
        <f t="shared" si="252"/>
        <v>0.53145336225596529</v>
      </c>
      <c r="N145" s="177">
        <f t="shared" si="253"/>
        <v>7.9064316702819957</v>
      </c>
      <c r="O145" s="177">
        <f t="shared" si="244"/>
        <v>1.6799999999999997</v>
      </c>
      <c r="P145" s="222">
        <f t="shared" si="254"/>
        <v>0.65886930585683301</v>
      </c>
      <c r="Q145" s="222">
        <f t="shared" si="255"/>
        <v>12</v>
      </c>
      <c r="R145" s="222"/>
      <c r="S145" s="177">
        <f t="shared" si="256"/>
        <v>95.492486360651114</v>
      </c>
      <c r="T145" s="177">
        <f t="shared" si="257"/>
        <v>12</v>
      </c>
      <c r="U145" s="222">
        <f t="shared" si="258"/>
        <v>0.30810359231411855</v>
      </c>
      <c r="V145" s="222">
        <f t="shared" si="259"/>
        <v>1.1981806367771277</v>
      </c>
      <c r="W145" s="222">
        <f t="shared" si="260"/>
        <v>1.0563551736484063</v>
      </c>
      <c r="X145" s="202">
        <f t="shared" si="261"/>
        <v>350</v>
      </c>
      <c r="Y145" s="453">
        <f t="shared" si="203"/>
        <v>350</v>
      </c>
      <c r="AA145" s="222">
        <f t="shared" si="262"/>
        <v>0.39045553145336231</v>
      </c>
      <c r="AB145" s="178">
        <f t="shared" si="263"/>
        <v>1.3387046792686708</v>
      </c>
      <c r="AC145" s="178">
        <f t="shared" si="264"/>
        <v>0.18294662645103313</v>
      </c>
      <c r="AD145" s="178"/>
      <c r="AE145" s="178">
        <f t="shared" si="265"/>
        <v>0.99428571428571422</v>
      </c>
      <c r="AF145" s="562">
        <f t="shared" si="266"/>
        <v>485.53309552120498</v>
      </c>
      <c r="AG145" s="545">
        <f t="shared" si="267"/>
        <v>0.10091999999999998</v>
      </c>
      <c r="AI145" s="178">
        <f t="shared" si="268"/>
        <v>0.34156502553198659</v>
      </c>
      <c r="AJ145" s="178">
        <f t="shared" si="269"/>
        <v>0.34156502553198659</v>
      </c>
      <c r="AK145" s="178">
        <f t="shared" si="270"/>
        <v>1.2381963152088789</v>
      </c>
      <c r="AM145" s="562">
        <f t="shared" si="271"/>
        <v>139.99999999999997</v>
      </c>
      <c r="AN145" s="471">
        <f t="shared" si="272"/>
        <v>350</v>
      </c>
      <c r="AP145" s="471">
        <f t="shared" si="273"/>
        <v>139.99999999999997</v>
      </c>
      <c r="AQ145" s="471">
        <f t="shared" si="274"/>
        <v>350</v>
      </c>
      <c r="AS145" s="5">
        <f t="shared" si="245"/>
        <v>2.8571428571428572</v>
      </c>
      <c r="AT145" s="5">
        <f t="shared" si="275"/>
        <v>1.3283084326243921</v>
      </c>
      <c r="AU145" s="5">
        <f t="shared" si="218"/>
        <v>1.5288344245184651</v>
      </c>
      <c r="AV145" s="5"/>
      <c r="AW145" s="178">
        <f t="shared" si="219"/>
        <v>0.46490795141853725</v>
      </c>
      <c r="AX145" s="178">
        <f t="shared" si="241"/>
        <v>1.7149999999999994</v>
      </c>
      <c r="AY145" s="178">
        <f t="shared" si="242"/>
        <v>0.18276872923569035</v>
      </c>
      <c r="AZ145" s="178">
        <f t="shared" si="246"/>
        <v>9.3834432573441617</v>
      </c>
      <c r="BD145" s="178">
        <f t="shared" si="247"/>
        <v>0.13446097451036285</v>
      </c>
      <c r="BE145" s="178">
        <f t="shared" si="243"/>
        <v>0.28850743645606391</v>
      </c>
      <c r="BG145" s="545">
        <f t="shared" si="220"/>
        <v>6.3279137831967567E-3</v>
      </c>
      <c r="BH145" s="545">
        <f t="shared" si="221"/>
        <v>4.1333637652189524E-2</v>
      </c>
      <c r="BI145" s="545">
        <f t="shared" si="222"/>
        <v>4.3749999999999995E-3</v>
      </c>
      <c r="BJ145" s="545">
        <f t="shared" si="223"/>
        <v>3.7191175E-2</v>
      </c>
      <c r="BK145">
        <f t="shared" si="224"/>
        <v>6.2640000000000005E-3</v>
      </c>
      <c r="BM145" s="471">
        <f t="shared" si="225"/>
        <v>95.491726435386283</v>
      </c>
      <c r="BN145" s="545">
        <f t="shared" si="226"/>
        <v>4.1999999999999996E-2</v>
      </c>
      <c r="BQ145" s="471">
        <f t="shared" si="227"/>
        <v>41.999999999999993</v>
      </c>
      <c r="BR145" s="545">
        <f t="shared" si="228"/>
        <v>1.7175765982962625E-3</v>
      </c>
      <c r="BS145" s="545">
        <f t="shared" si="229"/>
        <v>7.4912886801404774E-3</v>
      </c>
      <c r="BT145" s="545">
        <f t="shared" si="230"/>
        <v>7.8131039464015839E-3</v>
      </c>
      <c r="BU145" s="545"/>
      <c r="BV145" s="545">
        <f t="shared" si="231"/>
        <v>9.1874999999999995E-3</v>
      </c>
      <c r="BW145" s="471">
        <f t="shared" si="232"/>
        <v>26.209469224838319</v>
      </c>
      <c r="BX145" s="178">
        <f t="shared" si="233"/>
        <v>0.16370119566022459</v>
      </c>
      <c r="BY145" s="5">
        <f t="shared" si="234"/>
        <v>1.6799999999999997</v>
      </c>
      <c r="BZ145" s="178">
        <f t="shared" si="235"/>
        <v>0.911210560558538</v>
      </c>
      <c r="CA145" s="5">
        <f t="shared" si="236"/>
        <v>91.121056055853799</v>
      </c>
      <c r="CD145" s="580">
        <f t="shared" si="276"/>
        <v>-50</v>
      </c>
      <c r="CE145">
        <f t="shared" si="277"/>
        <v>-50</v>
      </c>
    </row>
    <row r="146" spans="5:83" x14ac:dyDescent="0.2">
      <c r="E146" s="175">
        <v>36</v>
      </c>
      <c r="F146" s="222">
        <f t="shared" si="278"/>
        <v>0.14399999999999999</v>
      </c>
      <c r="G146" s="222"/>
      <c r="H146" s="222">
        <f t="shared" si="248"/>
        <v>1.7279999999999998</v>
      </c>
      <c r="I146" s="558">
        <f t="shared" si="249"/>
        <v>21.6</v>
      </c>
      <c r="J146" s="453">
        <f t="shared" si="250"/>
        <v>24.5</v>
      </c>
      <c r="K146" s="453">
        <f t="shared" si="251"/>
        <v>46.1</v>
      </c>
      <c r="L146" s="453"/>
      <c r="M146" s="222">
        <f t="shared" si="252"/>
        <v>0.53145336225596529</v>
      </c>
      <c r="N146" s="177">
        <f t="shared" si="253"/>
        <v>7.9064316702819957</v>
      </c>
      <c r="O146" s="177">
        <f t="shared" si="244"/>
        <v>1.7279999999999998</v>
      </c>
      <c r="P146" s="222">
        <f t="shared" si="254"/>
        <v>0.65886930585683301</v>
      </c>
      <c r="Q146" s="222">
        <f t="shared" si="255"/>
        <v>12</v>
      </c>
      <c r="R146" s="222"/>
      <c r="S146" s="177">
        <f t="shared" si="256"/>
        <v>92.541597462203953</v>
      </c>
      <c r="T146" s="177">
        <f t="shared" si="257"/>
        <v>12</v>
      </c>
      <c r="U146" s="222">
        <f t="shared" si="258"/>
        <v>0.31690655209452195</v>
      </c>
      <c r="V146" s="222">
        <f t="shared" si="259"/>
        <v>1.2324143692564742</v>
      </c>
      <c r="W146" s="222">
        <f t="shared" si="260"/>
        <v>1.0865367500383609</v>
      </c>
      <c r="X146" s="202">
        <f t="shared" si="261"/>
        <v>350</v>
      </c>
      <c r="Y146" s="453">
        <f t="shared" si="203"/>
        <v>350</v>
      </c>
      <c r="AA146" s="222">
        <f t="shared" si="262"/>
        <v>0.39045553145336231</v>
      </c>
      <c r="AB146" s="178">
        <f t="shared" si="263"/>
        <v>1.3387046792686708</v>
      </c>
      <c r="AC146" s="178">
        <f t="shared" si="264"/>
        <v>0.18294662645103313</v>
      </c>
      <c r="AD146" s="178"/>
      <c r="AE146" s="178">
        <f t="shared" si="265"/>
        <v>0.99428571428571422</v>
      </c>
      <c r="AF146" s="562">
        <f t="shared" si="266"/>
        <v>499.40546967895369</v>
      </c>
      <c r="AG146" s="545">
        <f t="shared" si="267"/>
        <v>0.10091999999999998</v>
      </c>
      <c r="AI146" s="178">
        <f t="shared" si="268"/>
        <v>0.34641016151377546</v>
      </c>
      <c r="AJ146" s="178">
        <f t="shared" si="269"/>
        <v>0.34641016151377546</v>
      </c>
      <c r="AK146" s="178">
        <f t="shared" si="270"/>
        <v>1.2417853048250189</v>
      </c>
      <c r="AM146" s="562">
        <f t="shared" si="271"/>
        <v>144</v>
      </c>
      <c r="AN146" s="471">
        <f t="shared" si="272"/>
        <v>350</v>
      </c>
      <c r="AP146" s="471">
        <f t="shared" si="273"/>
        <v>144</v>
      </c>
      <c r="AQ146" s="471">
        <f t="shared" si="274"/>
        <v>350</v>
      </c>
      <c r="AS146" s="5">
        <f t="shared" si="245"/>
        <v>2.8571428571428572</v>
      </c>
      <c r="AT146" s="5">
        <f t="shared" si="275"/>
        <v>1.3471506281091268</v>
      </c>
      <c r="AU146" s="5">
        <f t="shared" si="218"/>
        <v>1.5099922290337304</v>
      </c>
      <c r="AV146" s="5"/>
      <c r="AW146" s="178">
        <f t="shared" si="219"/>
        <v>0.47150271983819436</v>
      </c>
      <c r="AX146" s="178">
        <f t="shared" si="241"/>
        <v>1.7639999999999998</v>
      </c>
      <c r="AY146" s="178">
        <f t="shared" si="242"/>
        <v>0.18307682818044213</v>
      </c>
      <c r="AZ146" s="178">
        <f t="shared" si="246"/>
        <v>9.6352991120284539</v>
      </c>
      <c r="BD146" s="178">
        <f t="shared" si="247"/>
        <v>0.13733211129785988</v>
      </c>
      <c r="BE146" s="178">
        <f t="shared" si="243"/>
        <v>0.29079127364123036</v>
      </c>
      <c r="BG146" s="545">
        <f t="shared" si="220"/>
        <v>6.6010380777347206E-3</v>
      </c>
      <c r="BH146" s="545">
        <f t="shared" si="221"/>
        <v>4.1919959670185754E-2</v>
      </c>
      <c r="BI146" s="545">
        <f t="shared" si="222"/>
        <v>4.3749999999999995E-3</v>
      </c>
      <c r="BJ146" s="545">
        <f t="shared" si="223"/>
        <v>3.7191175E-2</v>
      </c>
      <c r="BK146">
        <f t="shared" si="224"/>
        <v>6.2640000000000005E-3</v>
      </c>
      <c r="BM146" s="471">
        <f t="shared" si="225"/>
        <v>96.351172747920472</v>
      </c>
      <c r="BN146" s="545">
        <f t="shared" si="226"/>
        <v>4.3199999999999995E-2</v>
      </c>
      <c r="BQ146" s="471">
        <f t="shared" si="227"/>
        <v>43.199999999999996</v>
      </c>
      <c r="BR146" s="545">
        <f t="shared" si="228"/>
        <v>1.7917103353851387E-3</v>
      </c>
      <c r="BS146" s="545">
        <f t="shared" si="229"/>
        <v>7.6103608343300018E-3</v>
      </c>
      <c r="BT146" s="545">
        <f t="shared" si="230"/>
        <v>8.0931329116926357E-3</v>
      </c>
      <c r="BU146" s="545"/>
      <c r="BV146" s="545">
        <f t="shared" si="231"/>
        <v>9.4500000000000001E-3</v>
      </c>
      <c r="BW146" s="471">
        <f t="shared" si="232"/>
        <v>26.945204081407777</v>
      </c>
      <c r="BX146" s="178">
        <f t="shared" si="233"/>
        <v>0.16649637682932827</v>
      </c>
      <c r="BY146" s="5">
        <f t="shared" si="234"/>
        <v>1.7279999999999998</v>
      </c>
      <c r="BZ146" s="178">
        <f t="shared" si="235"/>
        <v>0.91211575864400418</v>
      </c>
      <c r="CA146" s="5">
        <f t="shared" si="236"/>
        <v>91.211575864400416</v>
      </c>
      <c r="CD146" s="580">
        <f t="shared" si="276"/>
        <v>-50</v>
      </c>
      <c r="CE146">
        <f t="shared" si="277"/>
        <v>-50</v>
      </c>
    </row>
    <row r="147" spans="5:83" x14ac:dyDescent="0.2">
      <c r="E147" s="175">
        <v>37</v>
      </c>
      <c r="F147" s="222">
        <f t="shared" si="278"/>
        <v>0.14799999999999999</v>
      </c>
      <c r="G147" s="222"/>
      <c r="H147" s="222">
        <f t="shared" si="248"/>
        <v>1.7759999999999998</v>
      </c>
      <c r="I147" s="558">
        <f t="shared" si="249"/>
        <v>21.6</v>
      </c>
      <c r="J147" s="453">
        <f t="shared" si="250"/>
        <v>24.5</v>
      </c>
      <c r="K147" s="453">
        <f t="shared" si="251"/>
        <v>46.1</v>
      </c>
      <c r="L147" s="453"/>
      <c r="M147" s="222">
        <f t="shared" si="252"/>
        <v>0.53145336225596529</v>
      </c>
      <c r="N147" s="177">
        <f t="shared" si="253"/>
        <v>7.9064316702819957</v>
      </c>
      <c r="O147" s="177">
        <f t="shared" si="244"/>
        <v>1.7759999999999998</v>
      </c>
      <c r="P147" s="222">
        <f t="shared" si="254"/>
        <v>0.65886930585683301</v>
      </c>
      <c r="Q147" s="222">
        <f t="shared" si="255"/>
        <v>12</v>
      </c>
      <c r="R147" s="222"/>
      <c r="S147" s="177">
        <f t="shared" si="256"/>
        <v>89.750270180210464</v>
      </c>
      <c r="T147" s="177">
        <f t="shared" si="257"/>
        <v>12</v>
      </c>
      <c r="U147" s="222">
        <f t="shared" si="258"/>
        <v>0.32570951187492536</v>
      </c>
      <c r="V147" s="222">
        <f t="shared" si="259"/>
        <v>1.2666481017358207</v>
      </c>
      <c r="W147" s="222">
        <f t="shared" si="260"/>
        <v>1.1167183264283156</v>
      </c>
      <c r="X147" s="202">
        <f t="shared" si="261"/>
        <v>350</v>
      </c>
      <c r="Y147" s="453">
        <f t="shared" si="203"/>
        <v>350</v>
      </c>
      <c r="AA147" s="222">
        <f t="shared" si="262"/>
        <v>0.39045553145336231</v>
      </c>
      <c r="AB147" s="178">
        <f t="shared" si="263"/>
        <v>1.3387046792686708</v>
      </c>
      <c r="AC147" s="178">
        <f t="shared" si="264"/>
        <v>0.18294662645103313</v>
      </c>
      <c r="AD147" s="178"/>
      <c r="AE147" s="178">
        <f t="shared" si="265"/>
        <v>0.99428571428571422</v>
      </c>
      <c r="AF147" s="562">
        <f t="shared" si="266"/>
        <v>513.27784383670246</v>
      </c>
      <c r="AG147" s="545">
        <f t="shared" si="267"/>
        <v>0.10091999999999998</v>
      </c>
      <c r="AI147" s="178">
        <f t="shared" si="268"/>
        <v>0.35118845842842461</v>
      </c>
      <c r="AJ147" s="178">
        <f t="shared" si="269"/>
        <v>0.35118845842842461</v>
      </c>
      <c r="AK147" s="178">
        <f t="shared" si="270"/>
        <v>1.2453247840210553</v>
      </c>
      <c r="AM147" s="562">
        <f t="shared" si="271"/>
        <v>148</v>
      </c>
      <c r="AN147" s="471">
        <f t="shared" si="272"/>
        <v>350</v>
      </c>
      <c r="AP147" s="471">
        <f t="shared" si="273"/>
        <v>148</v>
      </c>
      <c r="AQ147" s="471">
        <f t="shared" si="274"/>
        <v>350</v>
      </c>
      <c r="AS147" s="5">
        <f t="shared" si="245"/>
        <v>2.8571428571428572</v>
      </c>
      <c r="AT147" s="5">
        <f t="shared" si="275"/>
        <v>1.3657328938883178</v>
      </c>
      <c r="AU147" s="5">
        <f t="shared" si="218"/>
        <v>1.4914099632545395</v>
      </c>
      <c r="AV147" s="5"/>
      <c r="AW147" s="178">
        <f t="shared" si="219"/>
        <v>0.47800651286091123</v>
      </c>
      <c r="AX147" s="178">
        <f t="shared" si="241"/>
        <v>1.8129999999999999</v>
      </c>
      <c r="AY147" s="178">
        <f t="shared" si="242"/>
        <v>0.18331808805805427</v>
      </c>
      <c r="AZ147" s="178">
        <f t="shared" si="246"/>
        <v>9.8899133151871421</v>
      </c>
      <c r="BD147" s="178">
        <f t="shared" si="247"/>
        <v>0.14018337584057419</v>
      </c>
      <c r="BE147" s="178">
        <f t="shared" si="243"/>
        <v>0.29298281348264388</v>
      </c>
      <c r="BG147" s="545">
        <f t="shared" si="220"/>
        <v>6.8779826017208879E-3</v>
      </c>
      <c r="BH147" s="545">
        <f t="shared" si="221"/>
        <v>4.2498193325569728E-2</v>
      </c>
      <c r="BI147" s="545">
        <f t="shared" si="222"/>
        <v>4.3749999999999995E-3</v>
      </c>
      <c r="BJ147" s="545">
        <f t="shared" si="223"/>
        <v>3.7191175E-2</v>
      </c>
      <c r="BK147">
        <f t="shared" si="224"/>
        <v>6.2640000000000005E-3</v>
      </c>
      <c r="BM147" s="471">
        <f t="shared" si="225"/>
        <v>97.206350927290615</v>
      </c>
      <c r="BN147" s="545">
        <f t="shared" si="226"/>
        <v>4.4399999999999995E-2</v>
      </c>
      <c r="BQ147" s="471">
        <f t="shared" si="227"/>
        <v>44.399999999999991</v>
      </c>
      <c r="BR147" s="545">
        <f t="shared" si="228"/>
        <v>1.8668809918956698E-3</v>
      </c>
      <c r="BS147" s="545">
        <f t="shared" si="229"/>
        <v>7.7255036096585128E-3</v>
      </c>
      <c r="BT147" s="545">
        <f t="shared" si="230"/>
        <v>8.37511351088298E-3</v>
      </c>
      <c r="BU147" s="545"/>
      <c r="BV147" s="545">
        <f t="shared" si="231"/>
        <v>9.7125000000000006E-3</v>
      </c>
      <c r="BW147" s="471">
        <f t="shared" si="232"/>
        <v>27.679998112437161</v>
      </c>
      <c r="BX147" s="178">
        <f t="shared" si="233"/>
        <v>0.16928634903972781</v>
      </c>
      <c r="BY147" s="5">
        <f t="shared" si="234"/>
        <v>1.7759999999999998</v>
      </c>
      <c r="BZ147" s="178">
        <f t="shared" si="235"/>
        <v>0.9129761286181366</v>
      </c>
      <c r="CA147" s="5">
        <f t="shared" si="236"/>
        <v>91.297612861813661</v>
      </c>
      <c r="CD147" s="580">
        <f t="shared" si="276"/>
        <v>-50</v>
      </c>
      <c r="CE147">
        <f t="shared" si="277"/>
        <v>-50</v>
      </c>
    </row>
    <row r="148" spans="5:83" x14ac:dyDescent="0.2">
      <c r="E148" s="175">
        <v>38</v>
      </c>
      <c r="F148" s="222">
        <f t="shared" si="278"/>
        <v>0.15200000000000002</v>
      </c>
      <c r="G148" s="222"/>
      <c r="H148" s="222">
        <f t="shared" si="248"/>
        <v>1.8240000000000003</v>
      </c>
      <c r="I148" s="558">
        <f t="shared" si="249"/>
        <v>21.6</v>
      </c>
      <c r="J148" s="453">
        <f t="shared" si="250"/>
        <v>24.5</v>
      </c>
      <c r="K148" s="453">
        <f t="shared" si="251"/>
        <v>46.1</v>
      </c>
      <c r="L148" s="453"/>
      <c r="M148" s="222">
        <f t="shared" si="252"/>
        <v>0.53145336225596529</v>
      </c>
      <c r="N148" s="177">
        <f t="shared" si="253"/>
        <v>7.9064316702819957</v>
      </c>
      <c r="O148" s="177">
        <f t="shared" si="244"/>
        <v>1.8240000000000003</v>
      </c>
      <c r="P148" s="222">
        <f t="shared" si="254"/>
        <v>0.65886930585683301</v>
      </c>
      <c r="Q148" s="222">
        <f t="shared" si="255"/>
        <v>12</v>
      </c>
      <c r="R148" s="222"/>
      <c r="S148" s="177">
        <f t="shared" si="256"/>
        <v>87.105908041145042</v>
      </c>
      <c r="T148" s="177">
        <f t="shared" si="257"/>
        <v>12</v>
      </c>
      <c r="U148" s="222">
        <f t="shared" si="258"/>
        <v>0.33451247165532882</v>
      </c>
      <c r="V148" s="222">
        <f t="shared" si="259"/>
        <v>1.3008818342151676</v>
      </c>
      <c r="W148" s="222">
        <f t="shared" si="260"/>
        <v>1.1468999028182703</v>
      </c>
      <c r="X148" s="202">
        <f t="shared" si="261"/>
        <v>350</v>
      </c>
      <c r="Y148" s="453">
        <f t="shared" si="203"/>
        <v>350</v>
      </c>
      <c r="AA148" s="222">
        <f t="shared" si="262"/>
        <v>0.39045553145336231</v>
      </c>
      <c r="AB148" s="178">
        <f t="shared" si="263"/>
        <v>1.3387046792686708</v>
      </c>
      <c r="AC148" s="178">
        <f t="shared" si="264"/>
        <v>0.18294662645103313</v>
      </c>
      <c r="AD148" s="178"/>
      <c r="AE148" s="178">
        <f t="shared" si="265"/>
        <v>0.99428571428571422</v>
      </c>
      <c r="AF148" s="562">
        <f t="shared" si="266"/>
        <v>527.15021799445128</v>
      </c>
      <c r="AG148" s="545">
        <f t="shared" si="267"/>
        <v>0.10091999999999998</v>
      </c>
      <c r="AI148" s="178">
        <f t="shared" si="268"/>
        <v>0.35590260840104376</v>
      </c>
      <c r="AJ148" s="178">
        <f t="shared" si="269"/>
        <v>0.35590260840104376</v>
      </c>
      <c r="AK148" s="178">
        <f t="shared" si="270"/>
        <v>1.2488167469637361</v>
      </c>
      <c r="AM148" s="562">
        <f t="shared" si="271"/>
        <v>152.00000000000003</v>
      </c>
      <c r="AN148" s="471">
        <f t="shared" si="272"/>
        <v>350</v>
      </c>
      <c r="AP148" s="471">
        <f t="shared" si="273"/>
        <v>152.00000000000003</v>
      </c>
      <c r="AQ148" s="471">
        <f t="shared" si="274"/>
        <v>350</v>
      </c>
      <c r="AS148" s="5">
        <f t="shared" si="245"/>
        <v>2.8571428571428572</v>
      </c>
      <c r="AT148" s="5">
        <f t="shared" si="275"/>
        <v>1.3840656993373923</v>
      </c>
      <c r="AU148" s="5">
        <f t="shared" si="218"/>
        <v>1.4730771578054649</v>
      </c>
      <c r="AV148" s="5"/>
      <c r="AW148" s="178">
        <f t="shared" si="219"/>
        <v>0.48442299476808731</v>
      </c>
      <c r="AX148" s="178">
        <f t="shared" si="241"/>
        <v>1.8620000000000005</v>
      </c>
      <c r="AY148" s="178">
        <f t="shared" si="242"/>
        <v>0.18349520099363628</v>
      </c>
      <c r="AZ148" s="178">
        <f t="shared" si="246"/>
        <v>10.147404345820334</v>
      </c>
      <c r="BD148" s="178">
        <f t="shared" si="247"/>
        <v>0.14301543739978764</v>
      </c>
      <c r="BE148" s="178">
        <f t="shared" si="243"/>
        <v>0.29508511916102886</v>
      </c>
      <c r="BG148" s="545">
        <f t="shared" si="220"/>
        <v>7.158695367128402E-3</v>
      </c>
      <c r="BH148" s="545">
        <f t="shared" si="221"/>
        <v>4.3068664399131297E-2</v>
      </c>
      <c r="BI148" s="545">
        <f t="shared" si="222"/>
        <v>4.3749999999999995E-3</v>
      </c>
      <c r="BJ148" s="545">
        <f t="shared" si="223"/>
        <v>3.7191175E-2</v>
      </c>
      <c r="BK148">
        <f t="shared" si="224"/>
        <v>6.2640000000000005E-3</v>
      </c>
      <c r="BM148" s="471">
        <f t="shared" si="225"/>
        <v>98.057534766259707</v>
      </c>
      <c r="BN148" s="545">
        <f t="shared" si="226"/>
        <v>4.5600000000000009E-2</v>
      </c>
      <c r="BQ148" s="471">
        <f t="shared" si="227"/>
        <v>45.600000000000009</v>
      </c>
      <c r="BR148" s="545">
        <f t="shared" si="228"/>
        <v>1.943074456791995E-3</v>
      </c>
      <c r="BS148" s="545">
        <f t="shared" si="229"/>
        <v>7.836770479525074E-3</v>
      </c>
      <c r="BT148" s="545">
        <f t="shared" si="230"/>
        <v>8.6590060400406777E-3</v>
      </c>
      <c r="BU148" s="545"/>
      <c r="BV148" s="545">
        <f t="shared" si="231"/>
        <v>9.975000000000003E-3</v>
      </c>
      <c r="BW148" s="471">
        <f t="shared" si="232"/>
        <v>28.41385097635775</v>
      </c>
      <c r="BX148" s="178">
        <f t="shared" si="233"/>
        <v>0.17207138574261749</v>
      </c>
      <c r="BY148" s="5">
        <f t="shared" si="234"/>
        <v>1.8240000000000003</v>
      </c>
      <c r="BZ148" s="178">
        <f t="shared" si="235"/>
        <v>0.91379497398155418</v>
      </c>
      <c r="CA148" s="5">
        <f t="shared" si="236"/>
        <v>91.379497398155422</v>
      </c>
      <c r="CD148" s="580">
        <f t="shared" si="276"/>
        <v>-50</v>
      </c>
      <c r="CE148">
        <f t="shared" si="277"/>
        <v>-50</v>
      </c>
    </row>
    <row r="149" spans="5:83" x14ac:dyDescent="0.2">
      <c r="E149" s="175">
        <v>39</v>
      </c>
      <c r="F149" s="222">
        <f t="shared" si="278"/>
        <v>0.15600000000000003</v>
      </c>
      <c r="G149" s="222"/>
      <c r="H149" s="222">
        <f t="shared" si="248"/>
        <v>1.8720000000000003</v>
      </c>
      <c r="I149" s="558">
        <f t="shared" si="249"/>
        <v>21.6</v>
      </c>
      <c r="J149" s="453">
        <f t="shared" si="250"/>
        <v>24.5</v>
      </c>
      <c r="K149" s="453">
        <f t="shared" si="251"/>
        <v>46.1</v>
      </c>
      <c r="L149" s="453"/>
      <c r="M149" s="222">
        <f t="shared" si="252"/>
        <v>0.53145336225596529</v>
      </c>
      <c r="N149" s="177">
        <f t="shared" si="253"/>
        <v>7.9064316702819957</v>
      </c>
      <c r="O149" s="177">
        <f t="shared" si="244"/>
        <v>1.8720000000000003</v>
      </c>
      <c r="P149" s="222">
        <f t="shared" si="254"/>
        <v>0.65886930585683301</v>
      </c>
      <c r="Q149" s="222">
        <f t="shared" si="255"/>
        <v>12</v>
      </c>
      <c r="R149" s="222"/>
      <c r="S149" s="177">
        <f t="shared" si="256"/>
        <v>84.597206523384074</v>
      </c>
      <c r="T149" s="177">
        <f t="shared" si="257"/>
        <v>12</v>
      </c>
      <c r="U149" s="222">
        <f t="shared" si="258"/>
        <v>0.34331543143573223</v>
      </c>
      <c r="V149" s="222">
        <f t="shared" si="259"/>
        <v>1.3351155666945143</v>
      </c>
      <c r="W149" s="222">
        <f t="shared" si="260"/>
        <v>1.1770814792082247</v>
      </c>
      <c r="X149" s="202">
        <f t="shared" si="261"/>
        <v>350</v>
      </c>
      <c r="Y149" s="453">
        <f t="shared" si="203"/>
        <v>350</v>
      </c>
      <c r="AA149" s="222">
        <f t="shared" si="262"/>
        <v>0.39045553145336231</v>
      </c>
      <c r="AB149" s="178">
        <f t="shared" si="263"/>
        <v>1.3387046792686708</v>
      </c>
      <c r="AC149" s="178">
        <f t="shared" si="264"/>
        <v>0.18294662645103313</v>
      </c>
      <c r="AD149" s="178"/>
      <c r="AE149" s="178">
        <f t="shared" si="265"/>
        <v>0.99428571428571422</v>
      </c>
      <c r="AF149" s="562">
        <f t="shared" si="266"/>
        <v>541.02259215219999</v>
      </c>
      <c r="AG149" s="545">
        <f t="shared" si="267"/>
        <v>0.10091999999999998</v>
      </c>
      <c r="AI149" s="178">
        <f t="shared" si="268"/>
        <v>0.36055512754639896</v>
      </c>
      <c r="AJ149" s="178">
        <f t="shared" si="269"/>
        <v>0.36055512754639896</v>
      </c>
      <c r="AK149" s="178">
        <f t="shared" si="270"/>
        <v>1.252263057441777</v>
      </c>
      <c r="AM149" s="562">
        <f t="shared" si="271"/>
        <v>156.00000000000003</v>
      </c>
      <c r="AN149" s="471">
        <f t="shared" si="272"/>
        <v>350</v>
      </c>
      <c r="AP149" s="471">
        <f t="shared" si="273"/>
        <v>156.00000000000003</v>
      </c>
      <c r="AQ149" s="471">
        <f t="shared" si="274"/>
        <v>350</v>
      </c>
      <c r="AS149" s="5">
        <f t="shared" si="245"/>
        <v>2.8571428571428572</v>
      </c>
      <c r="AT149" s="5">
        <f t="shared" si="275"/>
        <v>1.4021588293471068</v>
      </c>
      <c r="AU149" s="5">
        <f t="shared" si="218"/>
        <v>1.4549840277957504</v>
      </c>
      <c r="AV149" s="5"/>
      <c r="AW149" s="178">
        <f t="shared" si="219"/>
        <v>0.49075559027148735</v>
      </c>
      <c r="AX149" s="178">
        <f t="shared" si="241"/>
        <v>1.9110000000000005</v>
      </c>
      <c r="AY149" s="178">
        <f t="shared" si="242"/>
        <v>0.18361068310195455</v>
      </c>
      <c r="AZ149" s="178">
        <f t="shared" si="246"/>
        <v>10.407891129836212</v>
      </c>
      <c r="BD149" s="178">
        <f t="shared" si="247"/>
        <v>0.14582892572610937</v>
      </c>
      <c r="BE149" s="178">
        <f t="shared" si="243"/>
        <v>0.29710104513382124</v>
      </c>
      <c r="BG149" s="545">
        <f t="shared" si="220"/>
        <v>7.4431264524508923E-3</v>
      </c>
      <c r="BH149" s="545">
        <f t="shared" si="221"/>
        <v>4.3631677372208605E-2</v>
      </c>
      <c r="BI149" s="545">
        <f t="shared" si="222"/>
        <v>4.3749999999999995E-3</v>
      </c>
      <c r="BJ149" s="545">
        <f t="shared" si="223"/>
        <v>3.7191175E-2</v>
      </c>
      <c r="BK149">
        <f t="shared" si="224"/>
        <v>6.2640000000000005E-3</v>
      </c>
      <c r="BM149" s="471">
        <f t="shared" si="225"/>
        <v>98.904978824659494</v>
      </c>
      <c r="BN149" s="545">
        <f t="shared" si="226"/>
        <v>4.6800000000000008E-2</v>
      </c>
      <c r="BQ149" s="471">
        <f t="shared" si="227"/>
        <v>46.800000000000011</v>
      </c>
      <c r="BR149" s="545">
        <f t="shared" si="228"/>
        <v>2.0202771799509565E-3</v>
      </c>
      <c r="BS149" s="545">
        <f t="shared" si="229"/>
        <v>7.9442127917647987E-3</v>
      </c>
      <c r="BT149" s="545">
        <f t="shared" si="230"/>
        <v>8.9447726304145991E-3</v>
      </c>
      <c r="BU149" s="545"/>
      <c r="BV149" s="545">
        <f t="shared" si="231"/>
        <v>1.0237500000000004E-2</v>
      </c>
      <c r="BW149" s="471">
        <f t="shared" si="232"/>
        <v>29.146762602130359</v>
      </c>
      <c r="BX149" s="178">
        <f t="shared" si="233"/>
        <v>0.17485174142678986</v>
      </c>
      <c r="BY149" s="5">
        <f t="shared" si="234"/>
        <v>1.8720000000000003</v>
      </c>
      <c r="BZ149" s="178">
        <f t="shared" si="235"/>
        <v>0.91457527778494263</v>
      </c>
      <c r="CA149" s="5">
        <f t="shared" si="236"/>
        <v>91.457527778494267</v>
      </c>
      <c r="CD149" s="580">
        <f t="shared" si="276"/>
        <v>-50</v>
      </c>
      <c r="CE149">
        <f t="shared" si="277"/>
        <v>-50</v>
      </c>
    </row>
    <row r="150" spans="5:83" x14ac:dyDescent="0.2">
      <c r="E150" s="175">
        <v>40</v>
      </c>
      <c r="F150" s="222">
        <f t="shared" si="278"/>
        <v>0.16000000000000003</v>
      </c>
      <c r="G150" s="222"/>
      <c r="H150" s="222">
        <f t="shared" si="248"/>
        <v>1.9200000000000004</v>
      </c>
      <c r="I150" s="558">
        <f t="shared" si="249"/>
        <v>21.6</v>
      </c>
      <c r="J150" s="453">
        <f t="shared" si="250"/>
        <v>24.5</v>
      </c>
      <c r="K150" s="453">
        <f t="shared" si="251"/>
        <v>46.1</v>
      </c>
      <c r="L150" s="453"/>
      <c r="M150" s="222">
        <f t="shared" si="252"/>
        <v>0.53145336225596529</v>
      </c>
      <c r="N150" s="177">
        <f t="shared" si="253"/>
        <v>7.9064316702819957</v>
      </c>
      <c r="O150" s="177">
        <f t="shared" si="244"/>
        <v>1.9200000000000004</v>
      </c>
      <c r="P150" s="222">
        <f t="shared" si="254"/>
        <v>0.65886930585683301</v>
      </c>
      <c r="Q150" s="222">
        <f t="shared" si="255"/>
        <v>12</v>
      </c>
      <c r="R150" s="222"/>
      <c r="S150" s="177">
        <f t="shared" si="256"/>
        <v>82.213991563303125</v>
      </c>
      <c r="T150" s="177">
        <f t="shared" si="257"/>
        <v>12</v>
      </c>
      <c r="U150" s="222">
        <f t="shared" si="258"/>
        <v>0.35211839121613564</v>
      </c>
      <c r="V150" s="222">
        <f t="shared" si="259"/>
        <v>1.3693492991738607</v>
      </c>
      <c r="W150" s="222">
        <f t="shared" si="260"/>
        <v>1.2072630555981794</v>
      </c>
      <c r="X150" s="202">
        <f t="shared" si="261"/>
        <v>350</v>
      </c>
      <c r="Y150" s="453">
        <f t="shared" si="203"/>
        <v>350</v>
      </c>
      <c r="AA150" s="222">
        <f t="shared" si="262"/>
        <v>0.39045553145336231</v>
      </c>
      <c r="AB150" s="178">
        <f t="shared" si="263"/>
        <v>1.3387046792686708</v>
      </c>
      <c r="AC150" s="178">
        <f t="shared" si="264"/>
        <v>0.18294662645103313</v>
      </c>
      <c r="AD150" s="178"/>
      <c r="AE150" s="178">
        <f t="shared" si="265"/>
        <v>0.99428571428571422</v>
      </c>
      <c r="AF150" s="562">
        <f t="shared" si="266"/>
        <v>554.8949663099487</v>
      </c>
      <c r="AG150" s="545">
        <f t="shared" si="267"/>
        <v>0.10091999999999998</v>
      </c>
      <c r="AI150" s="178">
        <f t="shared" si="268"/>
        <v>0.36514837167011077</v>
      </c>
      <c r="AJ150" s="178">
        <f t="shared" si="269"/>
        <v>0.36514837167011077</v>
      </c>
      <c r="AK150" s="178">
        <f t="shared" si="270"/>
        <v>1.2556654604963784</v>
      </c>
      <c r="AM150" s="562">
        <f t="shared" si="271"/>
        <v>160.00000000000003</v>
      </c>
      <c r="AN150" s="471">
        <f t="shared" si="272"/>
        <v>350</v>
      </c>
      <c r="AP150" s="471">
        <f t="shared" si="273"/>
        <v>160.00000000000003</v>
      </c>
      <c r="AQ150" s="471">
        <f t="shared" si="274"/>
        <v>350</v>
      </c>
      <c r="AS150" s="5">
        <f t="shared" si="245"/>
        <v>2.8571428571428572</v>
      </c>
      <c r="AT150" s="5">
        <f t="shared" si="275"/>
        <v>1.4200214453837638</v>
      </c>
      <c r="AU150" s="5">
        <f t="shared" si="218"/>
        <v>1.4371214117590934</v>
      </c>
      <c r="AV150" s="5"/>
      <c r="AW150" s="178">
        <f t="shared" si="219"/>
        <v>0.49700750588431736</v>
      </c>
      <c r="AX150" s="178">
        <f t="shared" si="241"/>
        <v>1.9600000000000004</v>
      </c>
      <c r="AY150" s="178">
        <f t="shared" si="242"/>
        <v>0.18366689018862931</v>
      </c>
      <c r="AZ150" s="178">
        <f t="shared" si="246"/>
        <v>10.671493364901229</v>
      </c>
      <c r="BD150" s="178">
        <f t="shared" si="247"/>
        <v>0.14862443434290151</v>
      </c>
      <c r="BE150" s="178">
        <f t="shared" si="243"/>
        <v>0.29903325541281867</v>
      </c>
      <c r="BG150" s="545">
        <f t="shared" si="220"/>
        <v>7.7312278693116047E-3</v>
      </c>
      <c r="BH150" s="545">
        <f t="shared" si="221"/>
        <v>4.4187517326729278E-2</v>
      </c>
      <c r="BI150" s="545">
        <f t="shared" si="222"/>
        <v>4.3749999999999995E-3</v>
      </c>
      <c r="BJ150" s="545">
        <f t="shared" si="223"/>
        <v>3.7191175E-2</v>
      </c>
      <c r="BK150">
        <f t="shared" si="224"/>
        <v>6.2640000000000005E-3</v>
      </c>
      <c r="BM150" s="471">
        <f t="shared" si="225"/>
        <v>99.748920196040885</v>
      </c>
      <c r="BN150" s="545">
        <f t="shared" si="226"/>
        <v>4.8000000000000008E-2</v>
      </c>
      <c r="BQ150" s="471">
        <f t="shared" si="227"/>
        <v>48.000000000000007</v>
      </c>
      <c r="BR150" s="545">
        <f t="shared" si="228"/>
        <v>2.098476135956007E-3</v>
      </c>
      <c r="BS150" s="545">
        <f t="shared" si="229"/>
        <v>8.0478799058509229E-3</v>
      </c>
      <c r="BT150" s="545">
        <f t="shared" si="230"/>
        <v>9.2323771185518714E-3</v>
      </c>
      <c r="BU150" s="545"/>
      <c r="BV150" s="545">
        <f t="shared" si="231"/>
        <v>1.0500000000000004E-2</v>
      </c>
      <c r="BW150" s="471">
        <f t="shared" si="232"/>
        <v>29.878733160358806</v>
      </c>
      <c r="BX150" s="178">
        <f t="shared" si="233"/>
        <v>0.17762765335639971</v>
      </c>
      <c r="BY150" s="5">
        <f t="shared" si="234"/>
        <v>1.9200000000000004</v>
      </c>
      <c r="BZ150" s="178">
        <f t="shared" si="235"/>
        <v>0.91531974081664158</v>
      </c>
      <c r="CA150" s="5">
        <f t="shared" si="236"/>
        <v>91.53197408166416</v>
      </c>
      <c r="CD150" s="580">
        <f t="shared" si="276"/>
        <v>-50</v>
      </c>
      <c r="CE150">
        <f t="shared" si="277"/>
        <v>-50</v>
      </c>
    </row>
    <row r="151" spans="5:83" x14ac:dyDescent="0.2">
      <c r="E151" s="175">
        <v>41</v>
      </c>
      <c r="F151" s="222">
        <f t="shared" si="278"/>
        <v>0.16400000000000001</v>
      </c>
      <c r="G151" s="222"/>
      <c r="H151" s="222">
        <f t="shared" si="248"/>
        <v>1.968</v>
      </c>
      <c r="I151" s="558">
        <f t="shared" si="249"/>
        <v>21.6</v>
      </c>
      <c r="J151" s="453">
        <f t="shared" si="250"/>
        <v>24.5</v>
      </c>
      <c r="K151" s="453">
        <f t="shared" si="251"/>
        <v>46.1</v>
      </c>
      <c r="L151" s="453"/>
      <c r="M151" s="222">
        <f t="shared" si="252"/>
        <v>0.53145336225596529</v>
      </c>
      <c r="N151" s="177">
        <f t="shared" si="253"/>
        <v>7.9064316702819957</v>
      </c>
      <c r="O151" s="177">
        <f t="shared" si="244"/>
        <v>1.968</v>
      </c>
      <c r="P151" s="222">
        <f t="shared" si="254"/>
        <v>0.65886930585683301</v>
      </c>
      <c r="Q151" s="222">
        <f t="shared" si="255"/>
        <v>12</v>
      </c>
      <c r="R151" s="222"/>
      <c r="S151" s="177">
        <f t="shared" si="256"/>
        <v>79.947081694629674</v>
      </c>
      <c r="T151" s="177">
        <f t="shared" si="257"/>
        <v>12</v>
      </c>
      <c r="U151" s="222">
        <f t="shared" si="258"/>
        <v>0.36092135099653894</v>
      </c>
      <c r="V151" s="222">
        <f t="shared" si="259"/>
        <v>1.4035830316532067</v>
      </c>
      <c r="W151" s="222">
        <f t="shared" si="260"/>
        <v>1.2374446319881334</v>
      </c>
      <c r="X151" s="202">
        <f t="shared" si="261"/>
        <v>350</v>
      </c>
      <c r="Y151" s="453">
        <f t="shared" si="203"/>
        <v>350</v>
      </c>
      <c r="AA151" s="222">
        <f t="shared" si="262"/>
        <v>0.39045553145336231</v>
      </c>
      <c r="AB151" s="178">
        <f t="shared" si="263"/>
        <v>1.3387046792686708</v>
      </c>
      <c r="AC151" s="178">
        <f t="shared" si="264"/>
        <v>0.18294662645103313</v>
      </c>
      <c r="AD151" s="178"/>
      <c r="AE151" s="178">
        <f t="shared" si="265"/>
        <v>0.99428571428571422</v>
      </c>
      <c r="AF151" s="562">
        <f t="shared" si="266"/>
        <v>568.76734046769741</v>
      </c>
      <c r="AG151" s="545">
        <f t="shared" si="267"/>
        <v>0.10091999999999998</v>
      </c>
      <c r="AI151" s="178">
        <f t="shared" si="268"/>
        <v>0.36968455021364727</v>
      </c>
      <c r="AJ151" s="178">
        <f t="shared" si="269"/>
        <v>0.36968455021364727</v>
      </c>
      <c r="AK151" s="178">
        <f t="shared" si="270"/>
        <v>1.2590255927508498</v>
      </c>
      <c r="AM151" s="562">
        <f t="shared" si="271"/>
        <v>164</v>
      </c>
      <c r="AN151" s="471">
        <f t="shared" si="272"/>
        <v>350</v>
      </c>
      <c r="AP151" s="471">
        <f t="shared" si="273"/>
        <v>164</v>
      </c>
      <c r="AQ151" s="471">
        <f t="shared" si="274"/>
        <v>350</v>
      </c>
      <c r="AS151" s="5">
        <f t="shared" si="245"/>
        <v>2.8571428571428572</v>
      </c>
      <c r="AT151" s="5">
        <f t="shared" si="275"/>
        <v>1.4376621397197393</v>
      </c>
      <c r="AU151" s="5">
        <f t="shared" si="218"/>
        <v>1.4194807174231179</v>
      </c>
      <c r="AV151" s="5"/>
      <c r="AW151" s="178">
        <f t="shared" si="219"/>
        <v>0.5031817489019087</v>
      </c>
      <c r="AX151" s="178">
        <f t="shared" si="241"/>
        <v>2.0089999999999999</v>
      </c>
      <c r="AY151" s="178">
        <f t="shared" si="242"/>
        <v>0.18366603169512874</v>
      </c>
      <c r="AZ151" s="178">
        <f t="shared" si="246"/>
        <v>10.938331826838743</v>
      </c>
      <c r="BD151" s="178">
        <f t="shared" si="247"/>
        <v>0.15140252348175215</v>
      </c>
      <c r="BE151" s="178">
        <f t="shared" si="243"/>
        <v>0.30088423979273526</v>
      </c>
      <c r="BG151" s="545">
        <f t="shared" si="220"/>
        <v>8.0229534408248777E-3</v>
      </c>
      <c r="BH151" s="545">
        <f t="shared" si="221"/>
        <v>4.4736451632728991E-2</v>
      </c>
      <c r="BI151" s="545">
        <f t="shared" si="222"/>
        <v>4.3749999999999995E-3</v>
      </c>
      <c r="BJ151" s="545">
        <f t="shared" si="223"/>
        <v>3.7191175E-2</v>
      </c>
      <c r="BK151">
        <f t="shared" si="224"/>
        <v>6.2640000000000005E-3</v>
      </c>
      <c r="BM151" s="471">
        <f t="shared" si="225"/>
        <v>100.58958007355388</v>
      </c>
      <c r="BN151" s="545">
        <f t="shared" si="226"/>
        <v>4.9200000000000001E-2</v>
      </c>
      <c r="BQ151" s="471">
        <f t="shared" si="227"/>
        <v>49.2</v>
      </c>
      <c r="BR151" s="545">
        <f t="shared" si="228"/>
        <v>2.1776587910810386E-3</v>
      </c>
      <c r="BS151" s="545">
        <f t="shared" si="229"/>
        <v>8.1478193180086998E-3</v>
      </c>
      <c r="BT151" s="545">
        <f t="shared" si="230"/>
        <v>9.5217849286371396E-3</v>
      </c>
      <c r="BU151" s="545"/>
      <c r="BV151" s="545">
        <f t="shared" si="231"/>
        <v>1.0762500000000003E-2</v>
      </c>
      <c r="BW151" s="471">
        <f t="shared" si="232"/>
        <v>30.609763037726882</v>
      </c>
      <c r="BX151" s="178">
        <f t="shared" si="233"/>
        <v>0.18039934311128075</v>
      </c>
      <c r="BY151" s="5">
        <f t="shared" si="234"/>
        <v>1.968</v>
      </c>
      <c r="BZ151" s="178">
        <f t="shared" si="235"/>
        <v>0.91603081443414103</v>
      </c>
      <c r="CA151" s="5">
        <f t="shared" si="236"/>
        <v>91.603081443414098</v>
      </c>
      <c r="CD151" s="580">
        <f t="shared" si="276"/>
        <v>-50</v>
      </c>
      <c r="CE151">
        <f t="shared" si="277"/>
        <v>-50</v>
      </c>
    </row>
    <row r="152" spans="5:83" x14ac:dyDescent="0.2">
      <c r="E152" s="175">
        <v>42</v>
      </c>
      <c r="F152" s="222">
        <f t="shared" si="278"/>
        <v>0.16800000000000001</v>
      </c>
      <c r="G152" s="222"/>
      <c r="H152" s="222">
        <f t="shared" si="248"/>
        <v>2.016</v>
      </c>
      <c r="I152" s="558">
        <f t="shared" si="249"/>
        <v>21.6</v>
      </c>
      <c r="J152" s="453">
        <f t="shared" si="250"/>
        <v>24.5</v>
      </c>
      <c r="K152" s="453">
        <f t="shared" si="251"/>
        <v>46.1</v>
      </c>
      <c r="L152" s="453"/>
      <c r="M152" s="222">
        <f t="shared" si="252"/>
        <v>0.53145336225596529</v>
      </c>
      <c r="N152" s="177">
        <f t="shared" si="253"/>
        <v>7.9064316702819957</v>
      </c>
      <c r="O152" s="177">
        <f t="shared" si="244"/>
        <v>2.016</v>
      </c>
      <c r="P152" s="222">
        <f t="shared" si="254"/>
        <v>0.65886930585683301</v>
      </c>
      <c r="Q152" s="222">
        <f t="shared" si="255"/>
        <v>12</v>
      </c>
      <c r="R152" s="222"/>
      <c r="S152" s="177">
        <f t="shared" si="256"/>
        <v>77.788169882175296</v>
      </c>
      <c r="T152" s="177">
        <f t="shared" si="257"/>
        <v>12</v>
      </c>
      <c r="U152" s="222">
        <f t="shared" si="258"/>
        <v>0.36972431077694234</v>
      </c>
      <c r="V152" s="222">
        <f t="shared" si="259"/>
        <v>1.4378167641325532</v>
      </c>
      <c r="W152" s="222">
        <f t="shared" si="260"/>
        <v>1.2676262083780878</v>
      </c>
      <c r="X152" s="202">
        <f t="shared" si="261"/>
        <v>350</v>
      </c>
      <c r="Y152" s="453">
        <f t="shared" si="203"/>
        <v>350</v>
      </c>
      <c r="AA152" s="222">
        <f t="shared" si="262"/>
        <v>0.39045553145336231</v>
      </c>
      <c r="AB152" s="178">
        <f t="shared" si="263"/>
        <v>1.3387046792686708</v>
      </c>
      <c r="AC152" s="178">
        <f t="shared" si="264"/>
        <v>0.18294662645103313</v>
      </c>
      <c r="AD152" s="178"/>
      <c r="AE152" s="178">
        <f t="shared" si="265"/>
        <v>0.99428571428571422</v>
      </c>
      <c r="AF152" s="562">
        <f t="shared" si="266"/>
        <v>582.63971462544612</v>
      </c>
      <c r="AG152" s="545">
        <f t="shared" si="267"/>
        <v>0.10091999999999998</v>
      </c>
      <c r="AI152" s="178">
        <f t="shared" si="268"/>
        <v>0.37416573867739417</v>
      </c>
      <c r="AJ152" s="178">
        <f t="shared" si="269"/>
        <v>0.37416573867739417</v>
      </c>
      <c r="AK152" s="178">
        <f t="shared" si="270"/>
        <v>1.2623449916128846</v>
      </c>
      <c r="AM152" s="562">
        <f t="shared" si="271"/>
        <v>168</v>
      </c>
      <c r="AN152" s="471">
        <f t="shared" si="272"/>
        <v>350</v>
      </c>
      <c r="AP152" s="471">
        <f t="shared" si="273"/>
        <v>168</v>
      </c>
      <c r="AQ152" s="471">
        <f t="shared" si="274"/>
        <v>350</v>
      </c>
      <c r="AS152" s="5">
        <f t="shared" si="245"/>
        <v>2.8571428571428572</v>
      </c>
      <c r="AT152" s="5">
        <f t="shared" si="275"/>
        <v>1.4550889837454215</v>
      </c>
      <c r="AU152" s="5">
        <f t="shared" si="218"/>
        <v>1.4020538733974357</v>
      </c>
      <c r="AV152" s="5"/>
      <c r="AW152" s="178">
        <f t="shared" si="219"/>
        <v>0.50928114431089755</v>
      </c>
      <c r="AX152" s="178">
        <f t="shared" si="241"/>
        <v>2.0580000000000003</v>
      </c>
      <c r="AY152" s="178">
        <f t="shared" si="242"/>
        <v>0.1836101831218386</v>
      </c>
      <c r="AZ152" s="178">
        <f t="shared" si="246"/>
        <v>11.208528661149304</v>
      </c>
      <c r="BD152" s="178">
        <f t="shared" si="247"/>
        <v>0.15416372271444154</v>
      </c>
      <c r="BE152" s="178">
        <f t="shared" si="243"/>
        <v>0.30265632830318584</v>
      </c>
      <c r="BG152" s="545">
        <f t="shared" si="220"/>
        <v>8.3182586904113256E-3</v>
      </c>
      <c r="BH152" s="545">
        <f t="shared" si="221"/>
        <v>4.5278731451698161E-2</v>
      </c>
      <c r="BI152" s="545">
        <f t="shared" si="222"/>
        <v>4.3749999999999995E-3</v>
      </c>
      <c r="BJ152" s="545">
        <f t="shared" si="223"/>
        <v>3.7191175E-2</v>
      </c>
      <c r="BK152">
        <f t="shared" si="224"/>
        <v>6.2640000000000005E-3</v>
      </c>
      <c r="BM152" s="471">
        <f t="shared" si="225"/>
        <v>101.42716514210949</v>
      </c>
      <c r="BN152" s="545">
        <f t="shared" si="226"/>
        <v>5.04E-2</v>
      </c>
      <c r="BQ152" s="471">
        <f t="shared" si="227"/>
        <v>50.4</v>
      </c>
      <c r="BR152" s="545">
        <f t="shared" si="228"/>
        <v>2.2578130731116457E-3</v>
      </c>
      <c r="BS152" s="545">
        <f t="shared" si="229"/>
        <v>8.2440767755769216E-3</v>
      </c>
      <c r="BT152" s="545">
        <f t="shared" si="230"/>
        <v>9.8129629656324418E-3</v>
      </c>
      <c r="BU152" s="545"/>
      <c r="BV152" s="545">
        <f t="shared" si="231"/>
        <v>1.1025000000000002E-2</v>
      </c>
      <c r="BW152" s="471">
        <f t="shared" si="232"/>
        <v>31.339852814321009</v>
      </c>
      <c r="BX152" s="178">
        <f t="shared" si="233"/>
        <v>0.18316701795643051</v>
      </c>
      <c r="BY152" s="5">
        <f t="shared" si="234"/>
        <v>2.016</v>
      </c>
      <c r="BZ152" s="178">
        <f t="shared" si="235"/>
        <v>0.91671072889832717</v>
      </c>
      <c r="CA152" s="5">
        <f t="shared" si="236"/>
        <v>91.671072889832715</v>
      </c>
      <c r="CD152" s="580">
        <f t="shared" si="276"/>
        <v>-50</v>
      </c>
      <c r="CE152">
        <f t="shared" si="277"/>
        <v>-50</v>
      </c>
    </row>
    <row r="153" spans="5:83" x14ac:dyDescent="0.2">
      <c r="E153" s="175">
        <v>43</v>
      </c>
      <c r="F153" s="222">
        <f t="shared" si="278"/>
        <v>0.17200000000000001</v>
      </c>
      <c r="G153" s="222"/>
      <c r="H153" s="222">
        <f t="shared" si="248"/>
        <v>2.0640000000000001</v>
      </c>
      <c r="I153" s="558">
        <f t="shared" si="249"/>
        <v>21.6</v>
      </c>
      <c r="J153" s="453">
        <f t="shared" si="250"/>
        <v>24.5</v>
      </c>
      <c r="K153" s="453">
        <f t="shared" si="251"/>
        <v>46.1</v>
      </c>
      <c r="L153" s="453"/>
      <c r="M153" s="222">
        <f t="shared" si="252"/>
        <v>0.53145336225596529</v>
      </c>
      <c r="N153" s="177">
        <f t="shared" si="253"/>
        <v>7.9064316702819957</v>
      </c>
      <c r="O153" s="177">
        <f t="shared" si="244"/>
        <v>2.0640000000000001</v>
      </c>
      <c r="P153" s="222">
        <f t="shared" si="254"/>
        <v>0.65886930585683301</v>
      </c>
      <c r="Q153" s="222">
        <f t="shared" si="255"/>
        <v>12</v>
      </c>
      <c r="R153" s="222"/>
      <c r="S153" s="177">
        <f t="shared" si="256"/>
        <v>75.729721843885926</v>
      </c>
      <c r="T153" s="177">
        <f t="shared" si="257"/>
        <v>12</v>
      </c>
      <c r="U153" s="222">
        <f t="shared" si="258"/>
        <v>0.37852727055734575</v>
      </c>
      <c r="V153" s="222">
        <f t="shared" si="259"/>
        <v>1.4720504966119001</v>
      </c>
      <c r="W153" s="222">
        <f t="shared" si="260"/>
        <v>1.2978077847680427</v>
      </c>
      <c r="X153" s="202">
        <f t="shared" si="261"/>
        <v>350</v>
      </c>
      <c r="Y153" s="453">
        <f t="shared" si="203"/>
        <v>350</v>
      </c>
      <c r="AA153" s="222">
        <f t="shared" si="262"/>
        <v>0.39045553145336231</v>
      </c>
      <c r="AB153" s="178">
        <f t="shared" si="263"/>
        <v>1.3387046792686708</v>
      </c>
      <c r="AC153" s="178">
        <f t="shared" si="264"/>
        <v>0.18294662645103313</v>
      </c>
      <c r="AD153" s="178"/>
      <c r="AE153" s="178">
        <f t="shared" si="265"/>
        <v>0.99428571428571422</v>
      </c>
      <c r="AF153" s="562">
        <f t="shared" si="266"/>
        <v>596.51208878319483</v>
      </c>
      <c r="AG153" s="545">
        <f t="shared" si="267"/>
        <v>0.10091999999999998</v>
      </c>
      <c r="AI153" s="178">
        <f t="shared" si="268"/>
        <v>0.37859388972001823</v>
      </c>
      <c r="AJ153" s="178">
        <f t="shared" si="269"/>
        <v>0.37859388972001823</v>
      </c>
      <c r="AK153" s="178">
        <f t="shared" si="270"/>
        <v>1.2656251034963097</v>
      </c>
      <c r="AM153" s="562">
        <f t="shared" si="271"/>
        <v>172</v>
      </c>
      <c r="AN153" s="471">
        <f t="shared" si="272"/>
        <v>350</v>
      </c>
      <c r="AP153" s="471">
        <f t="shared" si="273"/>
        <v>172</v>
      </c>
      <c r="AQ153" s="471">
        <f t="shared" si="274"/>
        <v>350</v>
      </c>
      <c r="AS153" s="5">
        <f t="shared" si="245"/>
        <v>2.8571428571428572</v>
      </c>
      <c r="AT153" s="5">
        <f t="shared" si="275"/>
        <v>1.4723095711334038</v>
      </c>
      <c r="AU153" s="5">
        <f t="shared" si="218"/>
        <v>1.3848332860094534</v>
      </c>
      <c r="AV153" s="5"/>
      <c r="AW153" s="178">
        <f t="shared" si="219"/>
        <v>0.51530834989669128</v>
      </c>
      <c r="AX153" s="178">
        <f t="shared" si="241"/>
        <v>2.1069999999999993</v>
      </c>
      <c r="AY153" s="178">
        <f t="shared" si="242"/>
        <v>0.18350129712742572</v>
      </c>
      <c r="AZ153" s="178">
        <f t="shared" si="246"/>
        <v>11.482207662744045</v>
      </c>
      <c r="BD153" s="178">
        <f t="shared" si="247"/>
        <v>0.15690853331924773</v>
      </c>
      <c r="BE153" s="178">
        <f t="shared" si="243"/>
        <v>0.30435170411469886</v>
      </c>
      <c r="BG153" s="545">
        <f t="shared" si="220"/>
        <v>8.6171007399391143E-3</v>
      </c>
      <c r="BH153" s="545">
        <f t="shared" si="221"/>
        <v>4.5814593079743705E-2</v>
      </c>
      <c r="BI153" s="545">
        <f t="shared" si="222"/>
        <v>4.3749999999999995E-3</v>
      </c>
      <c r="BJ153" s="545">
        <f t="shared" si="223"/>
        <v>3.7191175E-2</v>
      </c>
      <c r="BK153">
        <f t="shared" si="224"/>
        <v>6.2640000000000005E-3</v>
      </c>
      <c r="BM153" s="471">
        <f t="shared" si="225"/>
        <v>102.26186881968282</v>
      </c>
      <c r="BN153" s="545">
        <f t="shared" si="226"/>
        <v>5.16E-2</v>
      </c>
      <c r="BQ153" s="471">
        <f t="shared" si="227"/>
        <v>51.6</v>
      </c>
      <c r="BR153" s="545">
        <f t="shared" si="228"/>
        <v>2.3389273436977601E-3</v>
      </c>
      <c r="BS153" s="545">
        <f t="shared" si="229"/>
        <v>8.336696381776908E-3</v>
      </c>
      <c r="BT153" s="545">
        <f t="shared" si="230"/>
        <v>1.0105879517991773E-2</v>
      </c>
      <c r="BU153" s="545"/>
      <c r="BV153" s="545">
        <f t="shared" si="231"/>
        <v>1.1287500000000001E-2</v>
      </c>
      <c r="BW153" s="471">
        <f t="shared" si="232"/>
        <v>32.06900324346644</v>
      </c>
      <c r="BX153" s="178">
        <f t="shared" si="233"/>
        <v>0.18593087206314926</v>
      </c>
      <c r="BY153" s="5">
        <f t="shared" si="234"/>
        <v>2.0640000000000001</v>
      </c>
      <c r="BZ153" s="178">
        <f t="shared" si="235"/>
        <v>0.91736151791514664</v>
      </c>
      <c r="CA153" s="5">
        <f t="shared" si="236"/>
        <v>91.736151791514658</v>
      </c>
      <c r="CD153" s="580">
        <f t="shared" si="276"/>
        <v>-50</v>
      </c>
      <c r="CE153">
        <f t="shared" si="277"/>
        <v>-50</v>
      </c>
    </row>
    <row r="154" spans="5:83" x14ac:dyDescent="0.2">
      <c r="E154" s="175">
        <v>44</v>
      </c>
      <c r="F154" s="222">
        <f t="shared" si="278"/>
        <v>0.17600000000000002</v>
      </c>
      <c r="G154" s="222"/>
      <c r="H154" s="222">
        <f t="shared" si="248"/>
        <v>2.1120000000000001</v>
      </c>
      <c r="I154" s="558">
        <f t="shared" si="249"/>
        <v>21.6</v>
      </c>
      <c r="J154" s="453">
        <f t="shared" si="250"/>
        <v>24.5</v>
      </c>
      <c r="K154" s="453">
        <f t="shared" si="251"/>
        <v>46.1</v>
      </c>
      <c r="L154" s="453"/>
      <c r="M154" s="222">
        <f t="shared" si="252"/>
        <v>0.53145336225596529</v>
      </c>
      <c r="N154" s="177">
        <f t="shared" si="253"/>
        <v>7.9064316702819957</v>
      </c>
      <c r="O154" s="177">
        <f t="shared" si="244"/>
        <v>2.1120000000000001</v>
      </c>
      <c r="P154" s="222">
        <f t="shared" si="254"/>
        <v>0.65886930585683301</v>
      </c>
      <c r="Q154" s="222">
        <f t="shared" si="255"/>
        <v>12</v>
      </c>
      <c r="R154" s="222"/>
      <c r="S154" s="177">
        <f t="shared" si="256"/>
        <v>73.764888238068167</v>
      </c>
      <c r="T154" s="177">
        <f t="shared" si="257"/>
        <v>12</v>
      </c>
      <c r="U154" s="222">
        <f t="shared" si="258"/>
        <v>0.38733023033774916</v>
      </c>
      <c r="V154" s="222">
        <f t="shared" si="259"/>
        <v>1.5062842290912466</v>
      </c>
      <c r="W154" s="222">
        <f t="shared" si="260"/>
        <v>1.3279893611579972</v>
      </c>
      <c r="X154" s="202">
        <f t="shared" si="261"/>
        <v>350</v>
      </c>
      <c r="Y154" s="453">
        <f t="shared" si="203"/>
        <v>350</v>
      </c>
      <c r="AA154" s="222">
        <f t="shared" si="262"/>
        <v>0.39045553145336231</v>
      </c>
      <c r="AB154" s="178">
        <f t="shared" si="263"/>
        <v>1.3387046792686708</v>
      </c>
      <c r="AC154" s="178">
        <f t="shared" si="264"/>
        <v>0.18294662645103313</v>
      </c>
      <c r="AD154" s="178"/>
      <c r="AE154" s="178">
        <f t="shared" si="265"/>
        <v>0.99428571428571422</v>
      </c>
      <c r="AF154" s="562">
        <f t="shared" si="266"/>
        <v>610.38446294094354</v>
      </c>
      <c r="AG154" s="545">
        <f t="shared" si="267"/>
        <v>0.10091999999999998</v>
      </c>
      <c r="AI154" s="178">
        <f t="shared" si="268"/>
        <v>0.38297084310253526</v>
      </c>
      <c r="AJ154" s="178">
        <f t="shared" si="269"/>
        <v>0.38297084310253526</v>
      </c>
      <c r="AK154" s="178">
        <f t="shared" si="270"/>
        <v>1.2688672911870631</v>
      </c>
      <c r="AM154" s="562">
        <f t="shared" si="271"/>
        <v>176.00000000000003</v>
      </c>
      <c r="AN154" s="471">
        <f t="shared" si="272"/>
        <v>350</v>
      </c>
      <c r="AP154" s="471">
        <f t="shared" si="273"/>
        <v>176.00000000000003</v>
      </c>
      <c r="AQ154" s="471">
        <f t="shared" si="274"/>
        <v>350</v>
      </c>
      <c r="AS154" s="5">
        <f t="shared" si="245"/>
        <v>2.8571428571428572</v>
      </c>
      <c r="AT154" s="5">
        <f t="shared" si="275"/>
        <v>1.4893310565098592</v>
      </c>
      <c r="AU154" s="5">
        <f t="shared" si="218"/>
        <v>1.367811800632998</v>
      </c>
      <c r="AV154" s="5"/>
      <c r="AW154" s="178">
        <f t="shared" si="219"/>
        <v>0.52126586977845069</v>
      </c>
      <c r="AX154" s="178">
        <f t="shared" si="241"/>
        <v>2.1560000000000006</v>
      </c>
      <c r="AY154" s="178">
        <f t="shared" si="242"/>
        <v>0.18334121347290563</v>
      </c>
      <c r="AZ154" s="178">
        <f t="shared" si="246"/>
        <v>11.759494546590947</v>
      </c>
      <c r="BD154" s="178">
        <f t="shared" si="247"/>
        <v>0.1596374304139499</v>
      </c>
      <c r="BE154" s="178">
        <f t="shared" si="243"/>
        <v>0.30597241509469569</v>
      </c>
      <c r="BG154" s="545">
        <f t="shared" si="220"/>
        <v>8.9194382162090437E-3</v>
      </c>
      <c r="BH154" s="545">
        <f t="shared" si="221"/>
        <v>4.634425915094554E-2</v>
      </c>
      <c r="BI154" s="545">
        <f t="shared" si="222"/>
        <v>4.3749999999999995E-3</v>
      </c>
      <c r="BJ154" s="545">
        <f t="shared" si="223"/>
        <v>3.7191175E-2</v>
      </c>
      <c r="BK154">
        <f t="shared" si="224"/>
        <v>6.2640000000000005E-3</v>
      </c>
      <c r="BM154" s="471">
        <f t="shared" si="225"/>
        <v>103.09387236715459</v>
      </c>
      <c r="BN154" s="545">
        <f t="shared" si="226"/>
        <v>5.2800000000000007E-2</v>
      </c>
      <c r="BQ154" s="471">
        <f t="shared" si="227"/>
        <v>52.800000000000004</v>
      </c>
      <c r="BR154" s="545">
        <f t="shared" si="228"/>
        <v>2.4209903729710261E-3</v>
      </c>
      <c r="BS154" s="545">
        <f t="shared" si="229"/>
        <v>8.4257206918992682E-3</v>
      </c>
      <c r="BT154" s="545">
        <f t="shared" si="230"/>
        <v>1.0400504168888876E-2</v>
      </c>
      <c r="BU154" s="545"/>
      <c r="BV154" s="545">
        <f t="shared" si="231"/>
        <v>1.1550000000000005E-2</v>
      </c>
      <c r="BW154" s="471">
        <f t="shared" si="232"/>
        <v>32.797215233759175</v>
      </c>
      <c r="BX154" s="178">
        <f t="shared" si="233"/>
        <v>0.18869108760091377</v>
      </c>
      <c r="BY154" s="5">
        <f t="shared" si="234"/>
        <v>2.1120000000000001</v>
      </c>
      <c r="BZ154" s="178">
        <f t="shared" si="235"/>
        <v>0.91798503996567637</v>
      </c>
      <c r="CA154" s="5">
        <f t="shared" si="236"/>
        <v>91.798503996567632</v>
      </c>
      <c r="CD154" s="580">
        <f t="shared" si="276"/>
        <v>-50</v>
      </c>
      <c r="CE154">
        <f t="shared" si="277"/>
        <v>-50</v>
      </c>
    </row>
    <row r="155" spans="5:83" x14ac:dyDescent="0.2">
      <c r="E155" s="175">
        <v>45</v>
      </c>
      <c r="F155" s="222">
        <f t="shared" si="278"/>
        <v>0.18000000000000002</v>
      </c>
      <c r="G155" s="222"/>
      <c r="H155" s="222">
        <f t="shared" si="248"/>
        <v>2.16</v>
      </c>
      <c r="I155" s="558">
        <f t="shared" si="249"/>
        <v>21.6</v>
      </c>
      <c r="J155" s="453">
        <f t="shared" si="250"/>
        <v>24.5</v>
      </c>
      <c r="K155" s="453">
        <f t="shared" si="251"/>
        <v>46.1</v>
      </c>
      <c r="L155" s="453"/>
      <c r="M155" s="222">
        <f t="shared" si="252"/>
        <v>0.53145336225596529</v>
      </c>
      <c r="N155" s="177">
        <f t="shared" si="253"/>
        <v>7.9064316702819957</v>
      </c>
      <c r="O155" s="177">
        <f t="shared" si="244"/>
        <v>2.16</v>
      </c>
      <c r="P155" s="222">
        <f t="shared" si="254"/>
        <v>0.65886930585683301</v>
      </c>
      <c r="Q155" s="222">
        <f t="shared" si="255"/>
        <v>12</v>
      </c>
      <c r="R155" s="222"/>
      <c r="S155" s="177">
        <f t="shared" si="256"/>
        <v>71.887428558987125</v>
      </c>
      <c r="T155" s="177">
        <f t="shared" si="257"/>
        <v>12</v>
      </c>
      <c r="U155" s="222">
        <f t="shared" si="258"/>
        <v>0.39613319011815257</v>
      </c>
      <c r="V155" s="222">
        <f t="shared" si="259"/>
        <v>1.5405179615705931</v>
      </c>
      <c r="W155" s="222">
        <f t="shared" si="260"/>
        <v>1.3581709375479514</v>
      </c>
      <c r="X155" s="202">
        <f t="shared" si="261"/>
        <v>350</v>
      </c>
      <c r="Y155" s="453">
        <f t="shared" si="203"/>
        <v>344.98355456637233</v>
      </c>
      <c r="AA155" s="222">
        <f t="shared" si="262"/>
        <v>0.39045553145336231</v>
      </c>
      <c r="AB155" s="178">
        <f t="shared" si="263"/>
        <v>1.3387046792686708</v>
      </c>
      <c r="AC155" s="178">
        <f t="shared" si="264"/>
        <v>0.18294662645103313</v>
      </c>
      <c r="AD155" s="178"/>
      <c r="AE155" s="178">
        <f t="shared" si="265"/>
        <v>0.99428571428571422</v>
      </c>
      <c r="AF155" s="562">
        <f t="shared" si="266"/>
        <v>624.25683709869236</v>
      </c>
      <c r="AG155" s="545">
        <f t="shared" si="267"/>
        <v>0.10091999999999998</v>
      </c>
      <c r="AI155" s="178">
        <f t="shared" si="268"/>
        <v>0.3872983346207417</v>
      </c>
      <c r="AJ155" s="178">
        <f t="shared" si="269"/>
        <v>0.3872983346207417</v>
      </c>
      <c r="AK155" s="178">
        <f t="shared" si="270"/>
        <v>1.2720728404598087</v>
      </c>
      <c r="AM155" s="562">
        <f t="shared" si="271"/>
        <v>180.00000000000003</v>
      </c>
      <c r="AN155" s="471">
        <f t="shared" si="272"/>
        <v>344.98355456637233</v>
      </c>
      <c r="AP155" s="471">
        <f t="shared" si="273"/>
        <v>180.00000000000003</v>
      </c>
      <c r="AQ155" s="471">
        <f t="shared" si="274"/>
        <v>344.98355456637233</v>
      </c>
      <c r="AS155" s="5">
        <f t="shared" si="245"/>
        <v>2.898688899118544</v>
      </c>
      <c r="AT155" s="5">
        <f t="shared" si="275"/>
        <v>1.5061601901917732</v>
      </c>
      <c r="AU155" s="5">
        <f t="shared" si="218"/>
        <v>1.3925287089267708</v>
      </c>
      <c r="AV155" s="5"/>
      <c r="AW155" s="178">
        <f t="shared" si="219"/>
        <v>0.51960049615872128</v>
      </c>
      <c r="AX155" s="178">
        <f t="shared" si="241"/>
        <v>2.173396393768146</v>
      </c>
      <c r="AY155" s="178">
        <f t="shared" si="242"/>
        <v>0.18605792779035785</v>
      </c>
      <c r="AZ155" s="178">
        <f t="shared" si="246"/>
        <v>11.681288830740051</v>
      </c>
      <c r="BD155" s="178">
        <f t="shared" si="247"/>
        <v>0.16118320262340013</v>
      </c>
      <c r="BE155" s="178">
        <f t="shared" si="243"/>
        <v>0.30996758018905096</v>
      </c>
      <c r="BG155" s="545">
        <f t="shared" si="220"/>
        <v>9.0930086827776205E-3</v>
      </c>
      <c r="BH155" s="545">
        <f t="shared" si="221"/>
        <v>4.6196195540625748E-2</v>
      </c>
      <c r="BI155" s="545">
        <f t="shared" si="222"/>
        <v>4.3122944320796537E-3</v>
      </c>
      <c r="BJ155" s="545">
        <f t="shared" si="223"/>
        <v>3.6658125000000007E-2</v>
      </c>
      <c r="BK155">
        <f t="shared" si="224"/>
        <v>6.2640000000000005E-3</v>
      </c>
      <c r="BM155" s="471">
        <f t="shared" si="225"/>
        <v>102.52362365548302</v>
      </c>
      <c r="BN155" s="545">
        <f t="shared" si="226"/>
        <v>5.4000000000000006E-2</v>
      </c>
      <c r="BQ155" s="471">
        <f t="shared" si="227"/>
        <v>54.000000000000007</v>
      </c>
      <c r="BR155" s="545">
        <f t="shared" si="228"/>
        <v>2.4681023567539261E-3</v>
      </c>
      <c r="BS155" s="545">
        <f t="shared" si="229"/>
        <v>8.6471910691430162E-3</v>
      </c>
      <c r="BT155" s="545">
        <f t="shared" si="230"/>
        <v>1.0317632618293795E-2</v>
      </c>
      <c r="BU155" s="545"/>
      <c r="BV155" s="545">
        <f t="shared" si="231"/>
        <v>1.1643194966615068E-2</v>
      </c>
      <c r="BW155" s="471">
        <f t="shared" si="232"/>
        <v>33.076121010805807</v>
      </c>
      <c r="BX155" s="178">
        <f t="shared" si="233"/>
        <v>0.18959974466628884</v>
      </c>
      <c r="BY155" s="5">
        <f t="shared" si="234"/>
        <v>2.16</v>
      </c>
      <c r="BZ155" s="178">
        <f t="shared" si="235"/>
        <v>0.91930551358941459</v>
      </c>
      <c r="CA155" s="5">
        <f t="shared" si="236"/>
        <v>91.930551358941457</v>
      </c>
      <c r="CD155" s="580">
        <f t="shared" si="276"/>
        <v>-50</v>
      </c>
      <c r="CE155">
        <f t="shared" si="277"/>
        <v>-50</v>
      </c>
    </row>
    <row r="156" spans="5:83" s="77" customFormat="1" x14ac:dyDescent="0.2">
      <c r="E156" s="194">
        <v>46</v>
      </c>
      <c r="F156" s="334">
        <f t="shared" si="278"/>
        <v>0.18400000000000002</v>
      </c>
      <c r="G156" s="334"/>
      <c r="H156" s="334">
        <f t="shared" si="248"/>
        <v>2.2080000000000002</v>
      </c>
      <c r="I156" s="558">
        <f t="shared" si="249"/>
        <v>21.6</v>
      </c>
      <c r="J156" s="453">
        <f t="shared" si="250"/>
        <v>24.5</v>
      </c>
      <c r="K156" s="552">
        <f t="shared" si="251"/>
        <v>46.1</v>
      </c>
      <c r="L156" s="552"/>
      <c r="M156" s="334">
        <f t="shared" si="252"/>
        <v>0.53145336225596529</v>
      </c>
      <c r="N156" s="553">
        <f t="shared" si="253"/>
        <v>7.9064316702819957</v>
      </c>
      <c r="O156" s="177">
        <f t="shared" si="244"/>
        <v>2.2080000000000002</v>
      </c>
      <c r="P156" s="334">
        <f t="shared" si="254"/>
        <v>0.65886930585683301</v>
      </c>
      <c r="Q156" s="334">
        <f t="shared" si="255"/>
        <v>12</v>
      </c>
      <c r="R156" s="334"/>
      <c r="S156" s="177">
        <f t="shared" si="256"/>
        <v>70.091644959126512</v>
      </c>
      <c r="T156" s="177">
        <f t="shared" si="257"/>
        <v>12</v>
      </c>
      <c r="U156" s="222">
        <f t="shared" si="258"/>
        <v>0.40493614989855592</v>
      </c>
      <c r="V156" s="334">
        <f t="shared" si="259"/>
        <v>1.5747516940499393</v>
      </c>
      <c r="W156" s="334">
        <f t="shared" si="260"/>
        <v>1.3883525139379058</v>
      </c>
      <c r="X156" s="554">
        <f t="shared" si="261"/>
        <v>350</v>
      </c>
      <c r="Y156" s="552">
        <f t="shared" si="203"/>
        <v>337.48391207579903</v>
      </c>
      <c r="AA156" s="334">
        <f t="shared" si="262"/>
        <v>0.39045553145336231</v>
      </c>
      <c r="AB156" s="555">
        <f t="shared" si="263"/>
        <v>1.3387046792686708</v>
      </c>
      <c r="AC156" s="555">
        <f t="shared" si="264"/>
        <v>0.18294662645103313</v>
      </c>
      <c r="AD156" s="555"/>
      <c r="AE156" s="555">
        <f t="shared" si="265"/>
        <v>0.99428571428571422</v>
      </c>
      <c r="AF156" s="582">
        <f t="shared" si="266"/>
        <v>638.12921125644095</v>
      </c>
      <c r="AG156" s="599">
        <f t="shared" si="267"/>
        <v>0.10091999999999998</v>
      </c>
      <c r="AI156" s="555">
        <f t="shared" si="268"/>
        <v>0.39157800414902438</v>
      </c>
      <c r="AJ156" s="555">
        <f t="shared" si="269"/>
        <v>0.40493614989855592</v>
      </c>
      <c r="AK156" s="555">
        <f t="shared" si="270"/>
        <v>1.285137888813745</v>
      </c>
      <c r="AM156" s="582">
        <f t="shared" si="271"/>
        <v>184.00000000000003</v>
      </c>
      <c r="AN156" s="583">
        <f t="shared" si="272"/>
        <v>337.48391207579903</v>
      </c>
      <c r="AP156" s="77">
        <f t="shared" si="273"/>
        <v>184.00000000000003</v>
      </c>
      <c r="AQ156" s="77">
        <f t="shared" si="274"/>
        <v>337.48391207579903</v>
      </c>
      <c r="AS156" s="551">
        <f t="shared" si="245"/>
        <v>2.9631042079878451</v>
      </c>
      <c r="AT156" s="5">
        <f t="shared" si="275"/>
        <v>1.5747516940499393</v>
      </c>
      <c r="AU156" s="5">
        <f t="shared" si="218"/>
        <v>1.3883525139379058</v>
      </c>
      <c r="AV156" s="5"/>
      <c r="AW156" s="178">
        <f t="shared" si="219"/>
        <v>0.53145336225596529</v>
      </c>
      <c r="AX156" s="178">
        <f t="shared" si="241"/>
        <v>2.3242105263157899</v>
      </c>
      <c r="AY156" s="178">
        <f t="shared" si="242"/>
        <v>0.18973147153598283</v>
      </c>
      <c r="AZ156" s="178">
        <f t="shared" si="246"/>
        <v>12.250000000000002</v>
      </c>
      <c r="BD156" s="178">
        <f t="shared" si="247"/>
        <v>0.17043488873691856</v>
      </c>
      <c r="BE156" s="178">
        <f t="shared" si="243"/>
        <v>0.32006068507574897</v>
      </c>
      <c r="BG156" s="545">
        <f t="shared" si="220"/>
        <v>1.0166817954568032E-2</v>
      </c>
      <c r="BH156" s="545">
        <f t="shared" si="221"/>
        <v>4.7250000000000007E-2</v>
      </c>
      <c r="BI156" s="545">
        <f t="shared" si="222"/>
        <v>4.2185489009474875E-3</v>
      </c>
      <c r="BJ156" s="545">
        <f t="shared" si="223"/>
        <v>3.5861209239130443E-2</v>
      </c>
      <c r="BK156">
        <f t="shared" si="224"/>
        <v>6.2640000000000005E-3</v>
      </c>
      <c r="BL156"/>
      <c r="BM156" s="471">
        <f t="shared" si="225"/>
        <v>103.76057609464597</v>
      </c>
      <c r="BN156" s="545">
        <f t="shared" si="226"/>
        <v>5.5200000000000006E-2</v>
      </c>
      <c r="BQ156" s="471">
        <f t="shared" si="227"/>
        <v>55.2</v>
      </c>
      <c r="BR156" s="545">
        <f t="shared" si="228"/>
        <v>2.7595648733827519E-3</v>
      </c>
      <c r="BS156" s="545">
        <f t="shared" si="229"/>
        <v>9.219495791804198E-3</v>
      </c>
      <c r="BT156" s="545">
        <f t="shared" si="230"/>
        <v>1.0916139186003947E-2</v>
      </c>
      <c r="BU156" s="545"/>
      <c r="BV156" s="545">
        <f t="shared" si="231"/>
        <v>1.2451127819548876E-2</v>
      </c>
      <c r="BW156" s="471">
        <f t="shared" si="232"/>
        <v>35.346327670739775</v>
      </c>
      <c r="BX156" s="178">
        <f t="shared" si="233"/>
        <v>0.19430690376538576</v>
      </c>
      <c r="BY156" s="5">
        <f t="shared" si="234"/>
        <v>2.2080000000000002</v>
      </c>
      <c r="BZ156" s="178">
        <f t="shared" si="235"/>
        <v>0.91911653608419963</v>
      </c>
      <c r="CA156" s="5">
        <f t="shared" si="236"/>
        <v>91.911653608419968</v>
      </c>
      <c r="CD156" s="580">
        <f t="shared" si="276"/>
        <v>-50</v>
      </c>
      <c r="CE156">
        <f t="shared" si="277"/>
        <v>-50</v>
      </c>
    </row>
    <row r="157" spans="5:83" x14ac:dyDescent="0.2">
      <c r="E157" s="175">
        <v>47</v>
      </c>
      <c r="F157" s="222">
        <f t="shared" si="278"/>
        <v>0.188</v>
      </c>
      <c r="G157" s="222"/>
      <c r="H157" s="222">
        <f t="shared" si="248"/>
        <v>2.2560000000000002</v>
      </c>
      <c r="I157" s="558">
        <f t="shared" si="249"/>
        <v>21.6</v>
      </c>
      <c r="J157" s="453">
        <f t="shared" si="250"/>
        <v>24.5</v>
      </c>
      <c r="K157" s="453">
        <f t="shared" si="251"/>
        <v>46.1</v>
      </c>
      <c r="L157" s="453"/>
      <c r="M157" s="222">
        <f t="shared" si="252"/>
        <v>0.53145336225596529</v>
      </c>
      <c r="N157" s="177">
        <f t="shared" si="253"/>
        <v>7.9064316702819957</v>
      </c>
      <c r="O157" s="177">
        <f t="shared" si="244"/>
        <v>2.2560000000000002</v>
      </c>
      <c r="P157" s="222">
        <f t="shared" si="254"/>
        <v>0.65886930585683301</v>
      </c>
      <c r="Q157" s="222">
        <f t="shared" si="255"/>
        <v>12</v>
      </c>
      <c r="R157" s="222"/>
      <c r="S157" s="177">
        <f t="shared" si="256"/>
        <v>68.372324519672446</v>
      </c>
      <c r="T157" s="177">
        <f t="shared" si="257"/>
        <v>12</v>
      </c>
      <c r="U157" s="222">
        <f t="shared" si="258"/>
        <v>0.41373910967895933</v>
      </c>
      <c r="V157" s="222">
        <f t="shared" si="259"/>
        <v>1.608985426529286</v>
      </c>
      <c r="W157" s="222">
        <f t="shared" si="260"/>
        <v>1.4185340903278605</v>
      </c>
      <c r="X157" s="202">
        <f t="shared" si="261"/>
        <v>350</v>
      </c>
      <c r="Y157" s="453">
        <f t="shared" si="203"/>
        <v>330.30340330822884</v>
      </c>
      <c r="AA157" s="222">
        <f t="shared" si="262"/>
        <v>0.39045553145336231</v>
      </c>
      <c r="AB157" s="178">
        <f t="shared" si="263"/>
        <v>1.3387046792686708</v>
      </c>
      <c r="AC157" s="178">
        <f t="shared" si="264"/>
        <v>0.18294662645103313</v>
      </c>
      <c r="AD157" s="178"/>
      <c r="AE157" s="178">
        <f t="shared" si="265"/>
        <v>0.99428571428571422</v>
      </c>
      <c r="AF157" s="562">
        <f t="shared" si="266"/>
        <v>652.00158541418966</v>
      </c>
      <c r="AG157" s="545">
        <f t="shared" si="267"/>
        <v>0.10091999999999998</v>
      </c>
      <c r="AI157" s="178">
        <f t="shared" si="268"/>
        <v>0.39581140290126393</v>
      </c>
      <c r="AJ157" s="178">
        <f t="shared" si="269"/>
        <v>0.41373910967895933</v>
      </c>
      <c r="AK157" s="178">
        <f t="shared" si="270"/>
        <v>1.2916585997621921</v>
      </c>
      <c r="AM157" s="562">
        <f t="shared" si="271"/>
        <v>188</v>
      </c>
      <c r="AN157" s="471">
        <f t="shared" si="272"/>
        <v>330.30340330822884</v>
      </c>
      <c r="AP157">
        <f t="shared" si="273"/>
        <v>188</v>
      </c>
      <c r="AQ157">
        <f t="shared" si="274"/>
        <v>330.30340330822884</v>
      </c>
      <c r="AS157" s="5">
        <f t="shared" si="245"/>
        <v>3.0275195168571458</v>
      </c>
      <c r="AT157" s="5">
        <f t="shared" si="275"/>
        <v>1.608985426529286</v>
      </c>
      <c r="AU157" s="5">
        <f t="shared" si="218"/>
        <v>1.4185340903278598</v>
      </c>
      <c r="AV157" s="5"/>
      <c r="AW157" s="178">
        <f t="shared" si="219"/>
        <v>0.5314533622559654</v>
      </c>
      <c r="AX157" s="178">
        <f t="shared" si="241"/>
        <v>2.3747368421052637</v>
      </c>
      <c r="AY157" s="178">
        <f t="shared" si="242"/>
        <v>0.19385606874328676</v>
      </c>
      <c r="AZ157" s="178">
        <f t="shared" si="246"/>
        <v>12.250000000000005</v>
      </c>
      <c r="BD157" s="178">
        <f t="shared" si="247"/>
        <v>0.17413999501380811</v>
      </c>
      <c r="BE157" s="178">
        <f t="shared" si="243"/>
        <v>0.32701852605565657</v>
      </c>
      <c r="BG157" s="545">
        <f t="shared" si="220"/>
        <v>1.061365825219319E-2</v>
      </c>
      <c r="BH157" s="545">
        <f t="shared" si="221"/>
        <v>4.7250000000000007E-2</v>
      </c>
      <c r="BI157" s="545">
        <f t="shared" si="222"/>
        <v>4.1287925413528602E-3</v>
      </c>
      <c r="BJ157" s="545">
        <f t="shared" si="223"/>
        <v>3.509820478723405E-2</v>
      </c>
      <c r="BK157">
        <f t="shared" si="224"/>
        <v>6.2640000000000005E-3</v>
      </c>
      <c r="BM157" s="471">
        <f t="shared" si="225"/>
        <v>103.3546555807801</v>
      </c>
      <c r="BN157" s="545">
        <f t="shared" si="226"/>
        <v>5.6399999999999999E-2</v>
      </c>
      <c r="BQ157" s="471">
        <f t="shared" si="227"/>
        <v>56.4</v>
      </c>
      <c r="BR157" s="545">
        <f t="shared" si="228"/>
        <v>2.8808500970238658E-3</v>
      </c>
      <c r="BS157" s="545">
        <f t="shared" si="229"/>
        <v>9.6247004745252714E-3</v>
      </c>
      <c r="BT157" s="545">
        <f t="shared" si="230"/>
        <v>1.0916139186003959E-2</v>
      </c>
      <c r="BU157" s="545"/>
      <c r="BV157" s="545">
        <f t="shared" si="231"/>
        <v>1.2721804511278204E-2</v>
      </c>
      <c r="BW157" s="471">
        <f t="shared" si="232"/>
        <v>36.143494268831304</v>
      </c>
      <c r="BX157" s="178">
        <f t="shared" si="233"/>
        <v>0.1958981498496114</v>
      </c>
      <c r="BY157" s="5">
        <f t="shared" si="234"/>
        <v>2.2560000000000002</v>
      </c>
      <c r="BZ157" s="178">
        <f t="shared" si="235"/>
        <v>0.92010347172796436</v>
      </c>
      <c r="CA157" s="5">
        <f t="shared" si="236"/>
        <v>92.010347172796429</v>
      </c>
      <c r="CD157" s="580">
        <f t="shared" si="276"/>
        <v>-50</v>
      </c>
      <c r="CE157">
        <f t="shared" si="277"/>
        <v>-50</v>
      </c>
    </row>
    <row r="158" spans="5:83" x14ac:dyDescent="0.2">
      <c r="E158" s="175">
        <v>48</v>
      </c>
      <c r="F158" s="222">
        <f t="shared" si="278"/>
        <v>0.192</v>
      </c>
      <c r="G158" s="222"/>
      <c r="H158" s="222">
        <f t="shared" si="248"/>
        <v>2.3040000000000003</v>
      </c>
      <c r="I158" s="558">
        <f t="shared" si="249"/>
        <v>21.6</v>
      </c>
      <c r="J158" s="453">
        <f t="shared" si="250"/>
        <v>24.5</v>
      </c>
      <c r="K158" s="453">
        <f t="shared" si="251"/>
        <v>46.1</v>
      </c>
      <c r="L158" s="453"/>
      <c r="M158" s="222">
        <f t="shared" si="252"/>
        <v>0.53145336225596529</v>
      </c>
      <c r="N158" s="177">
        <f t="shared" si="253"/>
        <v>7.9064316702819957</v>
      </c>
      <c r="O158" s="177">
        <f t="shared" si="244"/>
        <v>2.3040000000000003</v>
      </c>
      <c r="P158" s="222">
        <f t="shared" si="254"/>
        <v>0.65886930585683301</v>
      </c>
      <c r="Q158" s="222">
        <f t="shared" si="255"/>
        <v>12</v>
      </c>
      <c r="R158" s="222"/>
      <c r="S158" s="177">
        <f t="shared" si="256"/>
        <v>66.724688737188004</v>
      </c>
      <c r="T158" s="177">
        <f t="shared" si="257"/>
        <v>12</v>
      </c>
      <c r="U158" s="222">
        <f t="shared" si="258"/>
        <v>0.42254206945936273</v>
      </c>
      <c r="V158" s="222">
        <f t="shared" si="259"/>
        <v>1.6432191590086327</v>
      </c>
      <c r="W158" s="222">
        <f t="shared" si="260"/>
        <v>1.4487156667178149</v>
      </c>
      <c r="X158" s="202">
        <f t="shared" si="261"/>
        <v>350</v>
      </c>
      <c r="Y158" s="453">
        <f t="shared" si="203"/>
        <v>323.42208240597404</v>
      </c>
      <c r="AA158" s="222">
        <f t="shared" si="262"/>
        <v>0.39045553145336231</v>
      </c>
      <c r="AB158" s="178">
        <f t="shared" si="263"/>
        <v>1.3387046792686708</v>
      </c>
      <c r="AC158" s="178">
        <f t="shared" si="264"/>
        <v>0.18294662645103313</v>
      </c>
      <c r="AD158" s="178"/>
      <c r="AE158" s="178">
        <f t="shared" si="265"/>
        <v>0.99428571428571422</v>
      </c>
      <c r="AF158" s="562">
        <f t="shared" si="266"/>
        <v>665.87395957193837</v>
      </c>
      <c r="AG158" s="545">
        <f t="shared" si="267"/>
        <v>0.10091999999999998</v>
      </c>
      <c r="AI158" s="178">
        <f t="shared" si="268"/>
        <v>0.4</v>
      </c>
      <c r="AJ158" s="178">
        <f t="shared" si="269"/>
        <v>0.42254206945936273</v>
      </c>
      <c r="AK158" s="178">
        <f t="shared" si="270"/>
        <v>1.298179310710639</v>
      </c>
      <c r="AM158" s="562">
        <f t="shared" si="271"/>
        <v>192</v>
      </c>
      <c r="AN158" s="471">
        <f t="shared" si="272"/>
        <v>323.42208240597404</v>
      </c>
      <c r="AP158">
        <f t="shared" si="273"/>
        <v>192</v>
      </c>
      <c r="AQ158">
        <f t="shared" si="274"/>
        <v>323.42208240597404</v>
      </c>
      <c r="AS158" s="5">
        <f t="shared" si="245"/>
        <v>3.0919348257264474</v>
      </c>
      <c r="AT158" s="5">
        <f t="shared" si="275"/>
        <v>1.6432191590086327</v>
      </c>
      <c r="AU158" s="5">
        <f t="shared" si="218"/>
        <v>1.4487156667178147</v>
      </c>
      <c r="AV158" s="5"/>
      <c r="AW158" s="178">
        <f t="shared" si="219"/>
        <v>0.53145336225596529</v>
      </c>
      <c r="AX158" s="178">
        <f t="shared" si="241"/>
        <v>2.4252631578947375</v>
      </c>
      <c r="AY158" s="178">
        <f t="shared" si="242"/>
        <v>0.19798066595059077</v>
      </c>
      <c r="AZ158" s="178">
        <f t="shared" si="246"/>
        <v>12.250000000000002</v>
      </c>
      <c r="BD158" s="178">
        <f t="shared" si="247"/>
        <v>0.17784510129069764</v>
      </c>
      <c r="BE158" s="178">
        <f t="shared" si="243"/>
        <v>0.33397636703556421</v>
      </c>
      <c r="BG158" s="545">
        <f t="shared" si="220"/>
        <v>1.1070108018584475E-2</v>
      </c>
      <c r="BH158" s="545">
        <f t="shared" si="221"/>
        <v>4.7250000000000007E-2</v>
      </c>
      <c r="BI158" s="545">
        <f t="shared" si="222"/>
        <v>4.0427760300746751E-3</v>
      </c>
      <c r="BJ158" s="545">
        <f t="shared" si="223"/>
        <v>3.4366992187500001E-2</v>
      </c>
      <c r="BK158">
        <f t="shared" si="224"/>
        <v>6.2640000000000005E-3</v>
      </c>
      <c r="BM158" s="471">
        <f t="shared" si="225"/>
        <v>102.99387623615917</v>
      </c>
      <c r="BN158" s="545">
        <f t="shared" si="226"/>
        <v>5.7599999999999998E-2</v>
      </c>
      <c r="BQ158" s="471">
        <f t="shared" si="227"/>
        <v>57.6</v>
      </c>
      <c r="BR158" s="545">
        <f t="shared" si="228"/>
        <v>3.0047436050443578E-3</v>
      </c>
      <c r="BS158" s="545">
        <f t="shared" si="229"/>
        <v>1.0038619236444651E-2</v>
      </c>
      <c r="BT158" s="545">
        <f t="shared" si="230"/>
        <v>1.0916139186003955E-2</v>
      </c>
      <c r="BU158" s="545"/>
      <c r="BV158" s="545">
        <f t="shared" si="231"/>
        <v>1.2992481203007524E-2</v>
      </c>
      <c r="BW158" s="471">
        <f t="shared" si="232"/>
        <v>36.951983230500488</v>
      </c>
      <c r="BX158" s="178">
        <f t="shared" si="233"/>
        <v>0.19754585946665965</v>
      </c>
      <c r="BY158" s="5">
        <f t="shared" si="234"/>
        <v>2.3040000000000003</v>
      </c>
      <c r="BZ158" s="178">
        <f t="shared" si="235"/>
        <v>0.92103048652133157</v>
      </c>
      <c r="CA158" s="5">
        <f t="shared" si="236"/>
        <v>92.103048652133154</v>
      </c>
      <c r="CD158" s="580">
        <f t="shared" si="276"/>
        <v>-50</v>
      </c>
      <c r="CE158">
        <f t="shared" si="277"/>
        <v>-50</v>
      </c>
    </row>
    <row r="159" spans="5:83" x14ac:dyDescent="0.2">
      <c r="E159" s="175">
        <v>49</v>
      </c>
      <c r="F159" s="222">
        <f t="shared" si="278"/>
        <v>0.19600000000000001</v>
      </c>
      <c r="G159" s="222"/>
      <c r="H159" s="222">
        <f t="shared" si="248"/>
        <v>2.3520000000000003</v>
      </c>
      <c r="I159" s="558">
        <f t="shared" si="249"/>
        <v>21.6</v>
      </c>
      <c r="J159" s="453">
        <f t="shared" si="250"/>
        <v>24.5</v>
      </c>
      <c r="K159" s="453">
        <f t="shared" si="251"/>
        <v>46.1</v>
      </c>
      <c r="L159" s="453"/>
      <c r="M159" s="222">
        <f t="shared" si="252"/>
        <v>0.53145336225596529</v>
      </c>
      <c r="N159" s="177">
        <f t="shared" si="253"/>
        <v>7.9064316702819957</v>
      </c>
      <c r="O159" s="177">
        <f t="shared" si="244"/>
        <v>2.3520000000000003</v>
      </c>
      <c r="P159" s="222">
        <f t="shared" si="254"/>
        <v>0.65886930585683301</v>
      </c>
      <c r="Q159" s="222">
        <f t="shared" si="255"/>
        <v>12</v>
      </c>
      <c r="R159" s="222"/>
      <c r="S159" s="177">
        <f t="shared" si="256"/>
        <v>65.144349195594515</v>
      </c>
      <c r="T159" s="177">
        <f t="shared" si="257"/>
        <v>12</v>
      </c>
      <c r="U159" s="222">
        <f t="shared" si="258"/>
        <v>0.43134502923976614</v>
      </c>
      <c r="V159" s="222">
        <f t="shared" si="259"/>
        <v>1.6774528914879792</v>
      </c>
      <c r="W159" s="222">
        <f t="shared" si="260"/>
        <v>1.4788972431077696</v>
      </c>
      <c r="X159" s="202">
        <f t="shared" si="261"/>
        <v>350</v>
      </c>
      <c r="Y159" s="453">
        <f t="shared" si="203"/>
        <v>316.82163174462755</v>
      </c>
      <c r="AA159" s="222">
        <f t="shared" si="262"/>
        <v>0.39045553145336231</v>
      </c>
      <c r="AB159" s="178">
        <f t="shared" si="263"/>
        <v>1.3387046792686708</v>
      </c>
      <c r="AC159" s="178">
        <f t="shared" si="264"/>
        <v>0.18294662645103313</v>
      </c>
      <c r="AD159" s="178"/>
      <c r="AE159" s="178">
        <f t="shared" si="265"/>
        <v>0.99428571428571422</v>
      </c>
      <c r="AF159" s="562">
        <f t="shared" si="266"/>
        <v>679.74633372968708</v>
      </c>
      <c r="AG159" s="545">
        <f t="shared" si="267"/>
        <v>0.10091999999999998</v>
      </c>
      <c r="AI159" s="178">
        <f t="shared" si="268"/>
        <v>0.40414518843273806</v>
      </c>
      <c r="AJ159" s="178">
        <f t="shared" si="269"/>
        <v>0.43134502923976614</v>
      </c>
      <c r="AK159" s="178">
        <f t="shared" si="270"/>
        <v>1.3047000216590861</v>
      </c>
      <c r="AM159" s="562">
        <f t="shared" si="271"/>
        <v>196</v>
      </c>
      <c r="AN159" s="471">
        <f t="shared" si="272"/>
        <v>316.82163174462755</v>
      </c>
      <c r="AP159">
        <f t="shared" si="273"/>
        <v>196</v>
      </c>
      <c r="AQ159">
        <f t="shared" si="274"/>
        <v>316.82163174462755</v>
      </c>
      <c r="AS159" s="5">
        <f t="shared" si="245"/>
        <v>3.156350134595749</v>
      </c>
      <c r="AT159" s="5">
        <f t="shared" si="275"/>
        <v>1.6774528914879792</v>
      </c>
      <c r="AU159" s="5">
        <f t="shared" si="218"/>
        <v>1.4788972431077698</v>
      </c>
      <c r="AV159" s="5"/>
      <c r="AW159" s="178">
        <f t="shared" si="219"/>
        <v>0.53145336225596518</v>
      </c>
      <c r="AX159" s="178">
        <f t="shared" si="241"/>
        <v>2.4757894736842112</v>
      </c>
      <c r="AY159" s="178">
        <f t="shared" si="242"/>
        <v>0.20210526315789482</v>
      </c>
      <c r="AZ159" s="178">
        <f t="shared" si="246"/>
        <v>12.249999999999998</v>
      </c>
      <c r="BD159" s="178">
        <f t="shared" si="247"/>
        <v>0.18155020756758716</v>
      </c>
      <c r="BE159" s="178">
        <f t="shared" si="243"/>
        <v>0.34093420801547186</v>
      </c>
      <c r="BG159" s="545">
        <f t="shared" si="220"/>
        <v>1.1536167253741892E-2</v>
      </c>
      <c r="BH159" s="545">
        <f t="shared" si="221"/>
        <v>4.7249999999999993E-2</v>
      </c>
      <c r="BI159" s="545">
        <f t="shared" si="222"/>
        <v>3.9602703968078436E-3</v>
      </c>
      <c r="BJ159" s="545">
        <f t="shared" si="223"/>
        <v>3.3665624999999991E-2</v>
      </c>
      <c r="BK159">
        <f t="shared" si="224"/>
        <v>6.2640000000000005E-3</v>
      </c>
      <c r="BM159" s="471">
        <f t="shared" si="225"/>
        <v>102.67606265054972</v>
      </c>
      <c r="BN159" s="545">
        <f t="shared" si="226"/>
        <v>5.8799999999999998E-2</v>
      </c>
      <c r="BQ159" s="471">
        <f t="shared" si="227"/>
        <v>58.8</v>
      </c>
      <c r="BR159" s="545">
        <f t="shared" si="228"/>
        <v>3.1312453974442281E-3</v>
      </c>
      <c r="BS159" s="545">
        <f t="shared" si="229"/>
        <v>1.0461252077562332E-2</v>
      </c>
      <c r="BT159" s="545">
        <f t="shared" si="230"/>
        <v>1.091613918600395E-2</v>
      </c>
      <c r="BU159" s="545"/>
      <c r="BV159" s="545">
        <f t="shared" si="231"/>
        <v>1.3263157894736846E-2</v>
      </c>
      <c r="BW159" s="471">
        <f t="shared" si="232"/>
        <v>37.771794555747356</v>
      </c>
      <c r="BX159" s="178">
        <f t="shared" si="233"/>
        <v>0.19924785720629706</v>
      </c>
      <c r="BY159" s="5">
        <f t="shared" si="234"/>
        <v>2.3520000000000003</v>
      </c>
      <c r="BZ159" s="178">
        <f t="shared" si="235"/>
        <v>0.92190180321229931</v>
      </c>
      <c r="CA159" s="5">
        <f t="shared" si="236"/>
        <v>92.190180321229931</v>
      </c>
      <c r="CD159" s="580">
        <f t="shared" si="276"/>
        <v>-50</v>
      </c>
      <c r="CE159">
        <f t="shared" si="277"/>
        <v>-50</v>
      </c>
    </row>
    <row r="160" spans="5:83" x14ac:dyDescent="0.2">
      <c r="E160" s="175">
        <v>50</v>
      </c>
      <c r="F160" s="222">
        <f t="shared" si="278"/>
        <v>0.2</v>
      </c>
      <c r="G160" s="222"/>
      <c r="H160" s="222">
        <f t="shared" si="248"/>
        <v>2.4000000000000004</v>
      </c>
      <c r="I160" s="558">
        <f t="shared" si="249"/>
        <v>21.6</v>
      </c>
      <c r="J160" s="453">
        <f t="shared" si="250"/>
        <v>24.5</v>
      </c>
      <c r="K160" s="453">
        <f t="shared" si="251"/>
        <v>46.1</v>
      </c>
      <c r="L160" s="453"/>
      <c r="M160" s="222">
        <f t="shared" si="252"/>
        <v>0.53145336225596529</v>
      </c>
      <c r="N160" s="177">
        <f t="shared" si="253"/>
        <v>7.9064316702819957</v>
      </c>
      <c r="O160" s="177">
        <f t="shared" si="244"/>
        <v>2.4000000000000004</v>
      </c>
      <c r="P160" s="222">
        <f t="shared" si="254"/>
        <v>0.65886930585683301</v>
      </c>
      <c r="Q160" s="222">
        <f t="shared" si="255"/>
        <v>12</v>
      </c>
      <c r="R160" s="222"/>
      <c r="S160" s="177">
        <f t="shared" si="256"/>
        <v>63.627268557516189</v>
      </c>
      <c r="T160" s="177">
        <f t="shared" si="257"/>
        <v>12</v>
      </c>
      <c r="U160" s="222">
        <f t="shared" si="258"/>
        <v>0.44014798902016955</v>
      </c>
      <c r="V160" s="222">
        <f t="shared" si="259"/>
        <v>1.7116866239673258</v>
      </c>
      <c r="W160" s="222">
        <f t="shared" si="260"/>
        <v>1.5090788194977243</v>
      </c>
      <c r="X160" s="202">
        <f t="shared" si="261"/>
        <v>350</v>
      </c>
      <c r="Y160" s="453">
        <f t="shared" si="203"/>
        <v>310.48519910973499</v>
      </c>
      <c r="AA160" s="222">
        <f t="shared" si="262"/>
        <v>0.39045553145336231</v>
      </c>
      <c r="AB160" s="178">
        <f t="shared" si="263"/>
        <v>1.3387046792686708</v>
      </c>
      <c r="AC160" s="178">
        <f t="shared" si="264"/>
        <v>0.18294662645103313</v>
      </c>
      <c r="AD160" s="178"/>
      <c r="AE160" s="178">
        <f t="shared" si="265"/>
        <v>0.99428571428571422</v>
      </c>
      <c r="AF160" s="562">
        <f t="shared" si="266"/>
        <v>693.61870788743579</v>
      </c>
      <c r="AG160" s="545">
        <f t="shared" si="267"/>
        <v>0.10091999999999998</v>
      </c>
      <c r="AI160" s="178">
        <f t="shared" si="268"/>
        <v>0.40824829046386302</v>
      </c>
      <c r="AJ160" s="178">
        <f t="shared" si="269"/>
        <v>0.44014798902016955</v>
      </c>
      <c r="AK160" s="178">
        <f t="shared" si="270"/>
        <v>1.3112207326075329</v>
      </c>
      <c r="AM160" s="562">
        <f t="shared" si="271"/>
        <v>200</v>
      </c>
      <c r="AN160" s="471">
        <f t="shared" si="272"/>
        <v>310.48519910973499</v>
      </c>
      <c r="AP160">
        <f t="shared" si="273"/>
        <v>200</v>
      </c>
      <c r="AQ160">
        <f t="shared" si="274"/>
        <v>310.48519910973499</v>
      </c>
      <c r="AS160" s="5">
        <f t="shared" si="245"/>
        <v>3.2207654434650501</v>
      </c>
      <c r="AT160" s="5">
        <f t="shared" si="275"/>
        <v>1.7116866239673258</v>
      </c>
      <c r="AU160" s="5">
        <f t="shared" si="218"/>
        <v>1.5090788194977243</v>
      </c>
      <c r="AV160" s="5"/>
      <c r="AW160" s="178">
        <f t="shared" si="219"/>
        <v>0.53145336225596529</v>
      </c>
      <c r="AX160" s="178">
        <f t="shared" si="241"/>
        <v>2.5263157894736845</v>
      </c>
      <c r="AY160" s="178">
        <f t="shared" si="242"/>
        <v>0.20622986036519875</v>
      </c>
      <c r="AZ160" s="178">
        <f t="shared" si="246"/>
        <v>12.25</v>
      </c>
      <c r="BD160" s="178">
        <f t="shared" si="247"/>
        <v>0.18525531384447672</v>
      </c>
      <c r="BE160" s="178">
        <f t="shared" si="243"/>
        <v>0.3478920489953794</v>
      </c>
      <c r="BG160" s="545">
        <f t="shared" si="220"/>
        <v>1.2011835957665447E-2</v>
      </c>
      <c r="BH160" s="545">
        <f t="shared" si="221"/>
        <v>4.7249999999999993E-2</v>
      </c>
      <c r="BI160" s="545">
        <f t="shared" si="222"/>
        <v>3.8810649888716873E-3</v>
      </c>
      <c r="BJ160" s="545">
        <f t="shared" si="223"/>
        <v>3.2992312499999996E-2</v>
      </c>
      <c r="BK160">
        <f t="shared" si="224"/>
        <v>6.2640000000000005E-3</v>
      </c>
      <c r="BM160" s="471">
        <f t="shared" si="225"/>
        <v>102.39921344653713</v>
      </c>
      <c r="BN160" s="545">
        <f t="shared" si="226"/>
        <v>0.06</v>
      </c>
      <c r="BQ160" s="471">
        <f t="shared" si="227"/>
        <v>60</v>
      </c>
      <c r="BR160" s="545">
        <f t="shared" si="228"/>
        <v>3.2603554742234786E-3</v>
      </c>
      <c r="BS160" s="545">
        <f t="shared" si="229"/>
        <v>1.0892598997878311E-2</v>
      </c>
      <c r="BT160" s="545">
        <f t="shared" si="230"/>
        <v>1.091613918600395E-2</v>
      </c>
      <c r="BU160" s="545"/>
      <c r="BV160" s="545">
        <f t="shared" si="231"/>
        <v>1.3533834586466171E-2</v>
      </c>
      <c r="BW160" s="471">
        <f t="shared" si="232"/>
        <v>38.602928244571913</v>
      </c>
      <c r="BX160" s="178">
        <f t="shared" si="233"/>
        <v>0.20100214169110905</v>
      </c>
      <c r="BY160" s="5">
        <f t="shared" si="234"/>
        <v>2.4000000000000004</v>
      </c>
      <c r="BZ160" s="178">
        <f t="shared" si="235"/>
        <v>0.92272127020994221</v>
      </c>
      <c r="CA160" s="5">
        <f t="shared" si="236"/>
        <v>92.272127020994219</v>
      </c>
      <c r="CD160" s="580">
        <f t="shared" si="276"/>
        <v>-50</v>
      </c>
      <c r="CE160">
        <f t="shared" si="277"/>
        <v>-50</v>
      </c>
    </row>
    <row r="161" spans="5:83" x14ac:dyDescent="0.2">
      <c r="E161" s="175">
        <v>51</v>
      </c>
      <c r="F161" s="222">
        <f t="shared" si="278"/>
        <v>0.20400000000000001</v>
      </c>
      <c r="G161" s="222"/>
      <c r="H161" s="222">
        <f t="shared" si="248"/>
        <v>2.4480000000000004</v>
      </c>
      <c r="I161" s="558">
        <f t="shared" si="249"/>
        <v>21.6</v>
      </c>
      <c r="J161" s="453">
        <f t="shared" si="250"/>
        <v>24.5</v>
      </c>
      <c r="K161" s="453">
        <f t="shared" si="251"/>
        <v>46.1</v>
      </c>
      <c r="L161" s="453"/>
      <c r="M161" s="222">
        <f t="shared" si="252"/>
        <v>0.53145336225596529</v>
      </c>
      <c r="N161" s="177">
        <f t="shared" si="253"/>
        <v>7.9064316702819957</v>
      </c>
      <c r="O161" s="177">
        <f t="shared" si="244"/>
        <v>2.4480000000000004</v>
      </c>
      <c r="P161" s="222">
        <f t="shared" si="254"/>
        <v>0.65886930585683301</v>
      </c>
      <c r="Q161" s="222">
        <f t="shared" si="255"/>
        <v>12</v>
      </c>
      <c r="R161" s="222"/>
      <c r="S161" s="177">
        <f t="shared" si="256"/>
        <v>62.169726144879895</v>
      </c>
      <c r="T161" s="177">
        <f t="shared" si="257"/>
        <v>12</v>
      </c>
      <c r="U161" s="222">
        <f t="shared" si="258"/>
        <v>0.4489509488005729</v>
      </c>
      <c r="V161" s="222">
        <f t="shared" si="259"/>
        <v>1.7459203564466723</v>
      </c>
      <c r="W161" s="222">
        <f t="shared" si="260"/>
        <v>1.5392603958876785</v>
      </c>
      <c r="X161" s="202">
        <f t="shared" si="261"/>
        <v>350</v>
      </c>
      <c r="Y161" s="453">
        <f t="shared" si="203"/>
        <v>304.39725402915195</v>
      </c>
      <c r="AA161" s="222">
        <f t="shared" si="262"/>
        <v>0.39045553145336231</v>
      </c>
      <c r="AB161" s="178">
        <f t="shared" si="263"/>
        <v>1.3387046792686708</v>
      </c>
      <c r="AC161" s="178">
        <f t="shared" si="264"/>
        <v>0.18294662645103313</v>
      </c>
      <c r="AD161" s="178"/>
      <c r="AE161" s="178">
        <f t="shared" si="265"/>
        <v>0.99428571428571422</v>
      </c>
      <c r="AF161" s="562">
        <f t="shared" si="266"/>
        <v>707.49108204518461</v>
      </c>
      <c r="AG161" s="545">
        <f t="shared" si="267"/>
        <v>0.10091999999999998</v>
      </c>
      <c r="AI161" s="178">
        <f t="shared" si="268"/>
        <v>0.41231056256176607</v>
      </c>
      <c r="AJ161" s="178">
        <f t="shared" si="269"/>
        <v>0.4489509488005729</v>
      </c>
      <c r="AK161" s="178">
        <f t="shared" si="270"/>
        <v>1.3177414435559798</v>
      </c>
      <c r="AM161" s="562">
        <f t="shared" si="271"/>
        <v>204.00000000000003</v>
      </c>
      <c r="AN161" s="471">
        <f t="shared" si="272"/>
        <v>304.39725402915195</v>
      </c>
      <c r="AP161">
        <f t="shared" si="273"/>
        <v>204.00000000000003</v>
      </c>
      <c r="AQ161">
        <f t="shared" si="274"/>
        <v>304.39725402915195</v>
      </c>
      <c r="AS161" s="5">
        <f t="shared" si="245"/>
        <v>3.2851807523343508</v>
      </c>
      <c r="AT161" s="5">
        <f t="shared" si="275"/>
        <v>1.7459203564466723</v>
      </c>
      <c r="AU161" s="5">
        <f t="shared" si="218"/>
        <v>1.5392603958876785</v>
      </c>
      <c r="AV161" s="5"/>
      <c r="AW161" s="178">
        <f t="shared" si="219"/>
        <v>0.53145336225596529</v>
      </c>
      <c r="AX161" s="178">
        <f t="shared" si="241"/>
        <v>2.5768421052631578</v>
      </c>
      <c r="AY161" s="178">
        <f t="shared" si="242"/>
        <v>0.21035445757250271</v>
      </c>
      <c r="AZ161" s="178">
        <f t="shared" si="246"/>
        <v>12.249999999999998</v>
      </c>
      <c r="BD161" s="178">
        <f t="shared" si="247"/>
        <v>0.18896042012136624</v>
      </c>
      <c r="BE161" s="178">
        <f t="shared" si="243"/>
        <v>0.35484988997528694</v>
      </c>
      <c r="BG161" s="545">
        <f t="shared" si="220"/>
        <v>1.249711413035513E-2</v>
      </c>
      <c r="BH161" s="545">
        <f t="shared" si="221"/>
        <v>4.7249999999999993E-2</v>
      </c>
      <c r="BI161" s="545">
        <f t="shared" si="222"/>
        <v>3.8049656753643994E-3</v>
      </c>
      <c r="BJ161" s="545">
        <f t="shared" si="223"/>
        <v>3.23454044117647E-2</v>
      </c>
      <c r="BK161">
        <f t="shared" si="224"/>
        <v>6.2640000000000005E-3</v>
      </c>
      <c r="BM161" s="471">
        <f t="shared" si="225"/>
        <v>102.16148421748422</v>
      </c>
      <c r="BN161" s="545">
        <f t="shared" si="226"/>
        <v>6.1200000000000004E-2</v>
      </c>
      <c r="BQ161" s="471">
        <f t="shared" si="227"/>
        <v>61.2</v>
      </c>
      <c r="BR161" s="545">
        <f t="shared" si="228"/>
        <v>3.392073835382107E-3</v>
      </c>
      <c r="BS161" s="545">
        <f t="shared" si="229"/>
        <v>1.1332659997392592E-2</v>
      </c>
      <c r="BT161" s="545">
        <f t="shared" si="230"/>
        <v>1.091613918600395E-2</v>
      </c>
      <c r="BU161" s="545"/>
      <c r="BV161" s="545">
        <f t="shared" si="231"/>
        <v>1.3804511278195489E-2</v>
      </c>
      <c r="BW161" s="471">
        <f t="shared" si="232"/>
        <v>39.44538429697414</v>
      </c>
      <c r="BX161" s="178">
        <f t="shared" si="233"/>
        <v>0.20280686851445837</v>
      </c>
      <c r="BY161" s="5">
        <f t="shared" si="234"/>
        <v>2.4480000000000004</v>
      </c>
      <c r="BZ161" s="178">
        <f t="shared" si="235"/>
        <v>0.92349240115402542</v>
      </c>
      <c r="CA161" s="5">
        <f t="shared" si="236"/>
        <v>92.349240115402537</v>
      </c>
      <c r="CD161" s="580">
        <f t="shared" si="276"/>
        <v>-50</v>
      </c>
      <c r="CE161">
        <f t="shared" si="277"/>
        <v>-50</v>
      </c>
    </row>
    <row r="162" spans="5:83" x14ac:dyDescent="0.2">
      <c r="E162" s="175">
        <v>52</v>
      </c>
      <c r="F162" s="222">
        <f t="shared" si="278"/>
        <v>0.20800000000000002</v>
      </c>
      <c r="G162" s="222"/>
      <c r="H162" s="222">
        <f t="shared" si="248"/>
        <v>2.4960000000000004</v>
      </c>
      <c r="I162" s="558">
        <f t="shared" si="249"/>
        <v>21.6</v>
      </c>
      <c r="J162" s="453">
        <f t="shared" si="250"/>
        <v>24.5</v>
      </c>
      <c r="K162" s="453">
        <f t="shared" si="251"/>
        <v>46.1</v>
      </c>
      <c r="L162" s="453"/>
      <c r="M162" s="222">
        <f t="shared" si="252"/>
        <v>0.53145336225596529</v>
      </c>
      <c r="N162" s="177">
        <f t="shared" si="253"/>
        <v>7.9064316702819957</v>
      </c>
      <c r="O162" s="177">
        <f t="shared" si="244"/>
        <v>2.4960000000000004</v>
      </c>
      <c r="P162" s="222">
        <f t="shared" si="254"/>
        <v>0.65886930585683301</v>
      </c>
      <c r="Q162" s="222">
        <f t="shared" si="255"/>
        <v>12</v>
      </c>
      <c r="R162" s="222"/>
      <c r="S162" s="177">
        <f t="shared" si="256"/>
        <v>60.76828749098555</v>
      </c>
      <c r="T162" s="177">
        <f t="shared" si="257"/>
        <v>12</v>
      </c>
      <c r="U162" s="222">
        <f t="shared" si="258"/>
        <v>0.45775390858097631</v>
      </c>
      <c r="V162" s="222">
        <f t="shared" si="259"/>
        <v>1.7801540889260186</v>
      </c>
      <c r="W162" s="222">
        <f t="shared" si="260"/>
        <v>1.5694419722776327</v>
      </c>
      <c r="X162" s="202">
        <f t="shared" si="261"/>
        <v>350</v>
      </c>
      <c r="Y162" s="453">
        <f t="shared" si="203"/>
        <v>298.54346068243757</v>
      </c>
      <c r="AA162" s="222">
        <f t="shared" si="262"/>
        <v>0.39045553145336231</v>
      </c>
      <c r="AB162" s="178">
        <f t="shared" si="263"/>
        <v>1.3387046792686708</v>
      </c>
      <c r="AC162" s="178">
        <f t="shared" si="264"/>
        <v>0.18294662645103313</v>
      </c>
      <c r="AD162" s="178"/>
      <c r="AE162" s="178">
        <f t="shared" si="265"/>
        <v>0.99428571428571422</v>
      </c>
      <c r="AF162" s="562">
        <f t="shared" si="266"/>
        <v>721.36345620293321</v>
      </c>
      <c r="AG162" s="545">
        <f t="shared" si="267"/>
        <v>0.10091999999999998</v>
      </c>
      <c r="AI162" s="178">
        <f t="shared" si="268"/>
        <v>0.41633319989322659</v>
      </c>
      <c r="AJ162" s="178">
        <f t="shared" si="269"/>
        <v>0.45775390858097631</v>
      </c>
      <c r="AK162" s="178">
        <f t="shared" si="270"/>
        <v>1.3242621545044269</v>
      </c>
      <c r="AM162" s="562">
        <f t="shared" si="271"/>
        <v>208.00000000000003</v>
      </c>
      <c r="AN162" s="471">
        <f t="shared" si="272"/>
        <v>298.54346068243757</v>
      </c>
      <c r="AP162">
        <f t="shared" si="273"/>
        <v>208.00000000000003</v>
      </c>
      <c r="AQ162">
        <f t="shared" si="274"/>
        <v>298.54346068243757</v>
      </c>
      <c r="AS162" s="5">
        <f t="shared" si="245"/>
        <v>3.3495960612036515</v>
      </c>
      <c r="AT162" s="5">
        <f t="shared" si="275"/>
        <v>1.7801540889260186</v>
      </c>
      <c r="AU162" s="5">
        <f t="shared" si="218"/>
        <v>1.5694419722776329</v>
      </c>
      <c r="AV162" s="5"/>
      <c r="AW162" s="178">
        <f t="shared" si="219"/>
        <v>0.53145336225596529</v>
      </c>
      <c r="AX162" s="178">
        <f t="shared" si="241"/>
        <v>2.6273684210526325</v>
      </c>
      <c r="AY162" s="178">
        <f t="shared" si="242"/>
        <v>0.21447905477980669</v>
      </c>
      <c r="AZ162" s="178">
        <f t="shared" si="246"/>
        <v>12.250000000000002</v>
      </c>
      <c r="BD162" s="178">
        <f t="shared" si="247"/>
        <v>0.19266552639825577</v>
      </c>
      <c r="BE162" s="178">
        <f t="shared" si="243"/>
        <v>0.36180773095519453</v>
      </c>
      <c r="BG162" s="545">
        <f t="shared" si="220"/>
        <v>1.2992001771810946E-2</v>
      </c>
      <c r="BH162" s="545">
        <f t="shared" si="221"/>
        <v>4.7250000000000007E-2</v>
      </c>
      <c r="BI162" s="545">
        <f t="shared" si="222"/>
        <v>3.7317932585304693E-3</v>
      </c>
      <c r="BJ162" s="545">
        <f t="shared" si="223"/>
        <v>3.1723377403846162E-2</v>
      </c>
      <c r="BK162">
        <f t="shared" si="224"/>
        <v>6.2640000000000005E-3</v>
      </c>
      <c r="BM162" s="471">
        <f t="shared" si="225"/>
        <v>101.96117243418759</v>
      </c>
      <c r="BN162" s="545">
        <f t="shared" si="226"/>
        <v>6.2400000000000004E-2</v>
      </c>
      <c r="BQ162" s="471">
        <f t="shared" si="227"/>
        <v>62.400000000000006</v>
      </c>
      <c r="BR162" s="545">
        <f t="shared" si="228"/>
        <v>3.5264004809201139E-3</v>
      </c>
      <c r="BS162" s="545">
        <f t="shared" si="229"/>
        <v>1.1781435076105179E-2</v>
      </c>
      <c r="BT162" s="545">
        <f t="shared" si="230"/>
        <v>1.0916139186003945E-2</v>
      </c>
      <c r="BU162" s="545"/>
      <c r="BV162" s="545">
        <f t="shared" si="231"/>
        <v>1.4075187969924817E-2</v>
      </c>
      <c r="BW162" s="471">
        <f t="shared" si="232"/>
        <v>40.299162712954057</v>
      </c>
      <c r="BX162" s="178">
        <f t="shared" si="233"/>
        <v>0.20466033514714169</v>
      </c>
      <c r="BY162" s="5">
        <f t="shared" si="234"/>
        <v>2.4960000000000004</v>
      </c>
      <c r="BZ162" s="178">
        <f t="shared" si="235"/>
        <v>0.92421840966683766</v>
      </c>
      <c r="CA162" s="5">
        <f t="shared" si="236"/>
        <v>92.42184096668376</v>
      </c>
      <c r="CD162" s="580">
        <f t="shared" si="276"/>
        <v>-50</v>
      </c>
      <c r="CE162">
        <f t="shared" si="277"/>
        <v>-50</v>
      </c>
    </row>
    <row r="163" spans="5:83" x14ac:dyDescent="0.2">
      <c r="E163" s="175">
        <v>53</v>
      </c>
      <c r="F163" s="222">
        <f t="shared" si="278"/>
        <v>0.21200000000000002</v>
      </c>
      <c r="G163" s="222"/>
      <c r="H163" s="222">
        <f t="shared" si="248"/>
        <v>2.5440000000000005</v>
      </c>
      <c r="I163" s="558">
        <f t="shared" si="249"/>
        <v>21.6</v>
      </c>
      <c r="J163" s="453">
        <f t="shared" si="250"/>
        <v>24.5</v>
      </c>
      <c r="K163" s="453">
        <f t="shared" si="251"/>
        <v>46.1</v>
      </c>
      <c r="L163" s="453"/>
      <c r="M163" s="222">
        <f t="shared" si="252"/>
        <v>0.53145336225596529</v>
      </c>
      <c r="N163" s="177">
        <f t="shared" si="253"/>
        <v>7.9064316702819957</v>
      </c>
      <c r="O163" s="177">
        <f t="shared" si="244"/>
        <v>2.5440000000000005</v>
      </c>
      <c r="P163" s="222">
        <f t="shared" si="254"/>
        <v>0.65886930585683301</v>
      </c>
      <c r="Q163" s="222">
        <f t="shared" si="255"/>
        <v>12</v>
      </c>
      <c r="R163" s="222"/>
      <c r="S163" s="177">
        <f t="shared" si="256"/>
        <v>59.419777339513274</v>
      </c>
      <c r="T163" s="177">
        <f t="shared" si="257"/>
        <v>12</v>
      </c>
      <c r="U163" s="222">
        <f t="shared" si="258"/>
        <v>0.46655686836137972</v>
      </c>
      <c r="V163" s="222">
        <f t="shared" si="259"/>
        <v>1.8143878214053653</v>
      </c>
      <c r="W163" s="222">
        <f t="shared" si="260"/>
        <v>1.5996235486675876</v>
      </c>
      <c r="X163" s="202">
        <f t="shared" si="261"/>
        <v>350</v>
      </c>
      <c r="Y163" s="453">
        <f t="shared" si="203"/>
        <v>292.91056519786321</v>
      </c>
      <c r="AA163" s="222">
        <f t="shared" si="262"/>
        <v>0.39045553145336231</v>
      </c>
      <c r="AB163" s="178">
        <f t="shared" si="263"/>
        <v>1.3387046792686708</v>
      </c>
      <c r="AC163" s="178">
        <f t="shared" si="264"/>
        <v>0.18294662645103313</v>
      </c>
      <c r="AD163" s="178"/>
      <c r="AE163" s="178">
        <f t="shared" si="265"/>
        <v>0.99428571428571422</v>
      </c>
      <c r="AF163" s="562">
        <f t="shared" si="266"/>
        <v>735.23583036068203</v>
      </c>
      <c r="AG163" s="545">
        <f t="shared" si="267"/>
        <v>0.10091999999999998</v>
      </c>
      <c r="AI163" s="178">
        <f t="shared" si="268"/>
        <v>0.42031734043061642</v>
      </c>
      <c r="AJ163" s="178">
        <f t="shared" si="269"/>
        <v>0.46655686836137972</v>
      </c>
      <c r="AK163" s="178">
        <f t="shared" si="270"/>
        <v>1.3307828654528739</v>
      </c>
      <c r="AM163" s="562">
        <f t="shared" si="271"/>
        <v>212.00000000000003</v>
      </c>
      <c r="AN163" s="471">
        <f t="shared" si="272"/>
        <v>292.91056519786321</v>
      </c>
      <c r="AP163">
        <f t="shared" si="273"/>
        <v>212.00000000000003</v>
      </c>
      <c r="AQ163">
        <f t="shared" si="274"/>
        <v>292.91056519786321</v>
      </c>
      <c r="AS163" s="5">
        <f t="shared" si="245"/>
        <v>3.4140113700729531</v>
      </c>
      <c r="AT163" s="5">
        <f t="shared" si="275"/>
        <v>1.8143878214053653</v>
      </c>
      <c r="AU163" s="5">
        <f t="shared" si="218"/>
        <v>1.5996235486675878</v>
      </c>
      <c r="AV163" s="5"/>
      <c r="AW163" s="178">
        <f t="shared" si="219"/>
        <v>0.53145336225596518</v>
      </c>
      <c r="AX163" s="178">
        <f t="shared" si="241"/>
        <v>2.6778947368421058</v>
      </c>
      <c r="AY163" s="178">
        <f t="shared" si="242"/>
        <v>0.21860365198711074</v>
      </c>
      <c r="AZ163" s="178">
        <f t="shared" si="246"/>
        <v>12.249999999999996</v>
      </c>
      <c r="BD163" s="178">
        <f t="shared" si="247"/>
        <v>0.19637063267514529</v>
      </c>
      <c r="BE163" s="178">
        <f t="shared" si="243"/>
        <v>0.36876557193510218</v>
      </c>
      <c r="BG163" s="545">
        <f t="shared" si="220"/>
        <v>1.3496498882032894E-2</v>
      </c>
      <c r="BH163" s="545">
        <f t="shared" si="221"/>
        <v>4.725E-2</v>
      </c>
      <c r="BI163" s="545">
        <f t="shared" si="222"/>
        <v>3.6613820649732901E-3</v>
      </c>
      <c r="BJ163" s="545">
        <f t="shared" si="223"/>
        <v>3.1124823113207547E-2</v>
      </c>
      <c r="BK163">
        <f t="shared" si="224"/>
        <v>6.2640000000000005E-3</v>
      </c>
      <c r="BM163" s="471">
        <f t="shared" si="225"/>
        <v>101.79670406021374</v>
      </c>
      <c r="BN163" s="545">
        <f t="shared" si="226"/>
        <v>6.3600000000000004E-2</v>
      </c>
      <c r="BQ163" s="471">
        <f t="shared" si="227"/>
        <v>63.6</v>
      </c>
      <c r="BR163" s="545">
        <f t="shared" si="228"/>
        <v>3.6633354108375001E-3</v>
      </c>
      <c r="BS163" s="545">
        <f t="shared" si="229"/>
        <v>1.2238924234016072E-2</v>
      </c>
      <c r="BT163" s="545">
        <f t="shared" si="230"/>
        <v>1.0916139186003936E-2</v>
      </c>
      <c r="BU163" s="545"/>
      <c r="BV163" s="545">
        <f t="shared" si="231"/>
        <v>1.4345864661654138E-2</v>
      </c>
      <c r="BW163" s="471">
        <f t="shared" si="232"/>
        <v>41.164263492511651</v>
      </c>
      <c r="BX163" s="178">
        <f t="shared" si="233"/>
        <v>0.20656096755272535</v>
      </c>
      <c r="BY163" s="5">
        <f t="shared" si="234"/>
        <v>2.5440000000000005</v>
      </c>
      <c r="BZ163" s="178">
        <f t="shared" si="235"/>
        <v>0.92490223994688969</v>
      </c>
      <c r="CA163" s="5">
        <f t="shared" si="236"/>
        <v>92.490223994688975</v>
      </c>
      <c r="CD163" s="580">
        <f t="shared" si="276"/>
        <v>-50</v>
      </c>
      <c r="CE163">
        <f t="shared" si="277"/>
        <v>-50</v>
      </c>
    </row>
    <row r="164" spans="5:83" x14ac:dyDescent="0.2">
      <c r="E164" s="175">
        <v>54</v>
      </c>
      <c r="F164" s="222">
        <f t="shared" si="278"/>
        <v>0.21600000000000003</v>
      </c>
      <c r="G164" s="222"/>
      <c r="H164" s="222">
        <f t="shared" si="248"/>
        <v>2.5920000000000005</v>
      </c>
      <c r="I164" s="558">
        <f t="shared" si="249"/>
        <v>21.6</v>
      </c>
      <c r="J164" s="453">
        <f t="shared" si="250"/>
        <v>24.5</v>
      </c>
      <c r="K164" s="453">
        <f t="shared" si="251"/>
        <v>46.1</v>
      </c>
      <c r="L164" s="453"/>
      <c r="M164" s="222">
        <f t="shared" si="252"/>
        <v>0.53145336225596529</v>
      </c>
      <c r="N164" s="177">
        <f t="shared" si="253"/>
        <v>7.9064316702819957</v>
      </c>
      <c r="O164" s="177">
        <f t="shared" si="244"/>
        <v>2.5920000000000005</v>
      </c>
      <c r="P164" s="222">
        <f t="shared" si="254"/>
        <v>0.65886930585683301</v>
      </c>
      <c r="Q164" s="222">
        <f t="shared" si="255"/>
        <v>12</v>
      </c>
      <c r="R164" s="222"/>
      <c r="S164" s="177">
        <f t="shared" si="256"/>
        <v>58.121255643642193</v>
      </c>
      <c r="T164" s="177">
        <f t="shared" si="257"/>
        <v>12</v>
      </c>
      <c r="U164" s="222">
        <f t="shared" si="258"/>
        <v>0.47535982814178313</v>
      </c>
      <c r="V164" s="222">
        <f t="shared" si="259"/>
        <v>1.8486215538847119</v>
      </c>
      <c r="W164" s="222">
        <f t="shared" si="260"/>
        <v>1.629805125057542</v>
      </c>
      <c r="X164" s="202">
        <f t="shared" si="261"/>
        <v>350</v>
      </c>
      <c r="Y164" s="453">
        <f t="shared" si="203"/>
        <v>287.48629547197686</v>
      </c>
      <c r="AA164" s="222">
        <f t="shared" si="262"/>
        <v>0.39045553145336231</v>
      </c>
      <c r="AB164" s="178">
        <f t="shared" si="263"/>
        <v>1.3387046792686708</v>
      </c>
      <c r="AC164" s="178">
        <f t="shared" si="264"/>
        <v>0.18294662645103313</v>
      </c>
      <c r="AD164" s="178"/>
      <c r="AE164" s="178">
        <f t="shared" si="265"/>
        <v>0.99428571428571422</v>
      </c>
      <c r="AF164" s="562">
        <f t="shared" si="266"/>
        <v>749.10820451843074</v>
      </c>
      <c r="AG164" s="545">
        <f t="shared" si="267"/>
        <v>0.10091999999999998</v>
      </c>
      <c r="AI164" s="178">
        <f t="shared" si="268"/>
        <v>0.42426406871192857</v>
      </c>
      <c r="AJ164" s="178">
        <f t="shared" si="269"/>
        <v>0.47535982814178313</v>
      </c>
      <c r="AK164" s="178">
        <f t="shared" si="270"/>
        <v>1.3373035764013208</v>
      </c>
      <c r="AM164" s="562">
        <f t="shared" si="271"/>
        <v>216.00000000000003</v>
      </c>
      <c r="AN164" s="471">
        <f t="shared" si="272"/>
        <v>287.48629547197686</v>
      </c>
      <c r="AP164">
        <f t="shared" si="273"/>
        <v>216.00000000000003</v>
      </c>
      <c r="AQ164">
        <f t="shared" si="274"/>
        <v>287.48629547197686</v>
      </c>
      <c r="AS164" s="5">
        <f t="shared" si="245"/>
        <v>3.4784266789422538</v>
      </c>
      <c r="AT164" s="5">
        <f t="shared" si="275"/>
        <v>1.8486215538847119</v>
      </c>
      <c r="AU164" s="5">
        <f t="shared" si="218"/>
        <v>1.6298051250575418</v>
      </c>
      <c r="AV164" s="5"/>
      <c r="AW164" s="178">
        <f t="shared" si="219"/>
        <v>0.53145336225596529</v>
      </c>
      <c r="AX164" s="178">
        <f t="shared" si="241"/>
        <v>2.7284210526315791</v>
      </c>
      <c r="AY164" s="178">
        <f t="shared" si="242"/>
        <v>0.22272824919441467</v>
      </c>
      <c r="AZ164" s="178">
        <f t="shared" si="246"/>
        <v>12.249999999999996</v>
      </c>
      <c r="BD164" s="178">
        <f t="shared" si="247"/>
        <v>0.20007573895203487</v>
      </c>
      <c r="BE164" s="178">
        <f t="shared" si="243"/>
        <v>0.37572341291500977</v>
      </c>
      <c r="BG164" s="545">
        <f t="shared" si="220"/>
        <v>1.4010605461020981E-2</v>
      </c>
      <c r="BH164" s="545">
        <f t="shared" si="221"/>
        <v>4.725E-2</v>
      </c>
      <c r="BI164" s="545">
        <f t="shared" si="222"/>
        <v>3.5935786933997105E-3</v>
      </c>
      <c r="BJ164" s="545">
        <f t="shared" si="223"/>
        <v>3.0548437500000001E-2</v>
      </c>
      <c r="BK164">
        <f t="shared" si="224"/>
        <v>6.2640000000000005E-3</v>
      </c>
      <c r="BM164" s="471">
        <f t="shared" si="225"/>
        <v>101.66662165442069</v>
      </c>
      <c r="BN164" s="545">
        <f t="shared" si="226"/>
        <v>6.480000000000001E-2</v>
      </c>
      <c r="BQ164" s="471">
        <f t="shared" si="227"/>
        <v>64.800000000000011</v>
      </c>
      <c r="BR164" s="545">
        <f t="shared" si="228"/>
        <v>3.8028786251342664E-3</v>
      </c>
      <c r="BS164" s="545">
        <f t="shared" si="229"/>
        <v>1.2705127471125264E-2</v>
      </c>
      <c r="BT164" s="545">
        <f t="shared" si="230"/>
        <v>1.0916139186003947E-2</v>
      </c>
      <c r="BU164" s="545"/>
      <c r="BV164" s="545">
        <f t="shared" si="231"/>
        <v>1.4616541353383463E-2</v>
      </c>
      <c r="BW164" s="471">
        <f t="shared" si="232"/>
        <v>42.040686635646935</v>
      </c>
      <c r="BX164" s="178">
        <f t="shared" si="233"/>
        <v>0.20850730829006767</v>
      </c>
      <c r="BY164" s="5">
        <f t="shared" si="234"/>
        <v>2.5920000000000005</v>
      </c>
      <c r="BZ164" s="178">
        <f t="shared" si="235"/>
        <v>0.92554659376433557</v>
      </c>
      <c r="CA164" s="5">
        <f t="shared" si="236"/>
        <v>92.554659376433563</v>
      </c>
      <c r="CD164" s="580">
        <f t="shared" si="276"/>
        <v>-50</v>
      </c>
      <c r="CE164">
        <f t="shared" si="277"/>
        <v>-50</v>
      </c>
    </row>
    <row r="165" spans="5:83" x14ac:dyDescent="0.2">
      <c r="E165" s="175">
        <v>55</v>
      </c>
      <c r="F165" s="222">
        <f t="shared" si="278"/>
        <v>0.22000000000000003</v>
      </c>
      <c r="G165" s="222"/>
      <c r="H165" s="222">
        <f t="shared" si="248"/>
        <v>2.6400000000000006</v>
      </c>
      <c r="I165" s="558">
        <f t="shared" si="249"/>
        <v>21.6</v>
      </c>
      <c r="J165" s="453">
        <f t="shared" si="250"/>
        <v>24.5</v>
      </c>
      <c r="K165" s="453">
        <f t="shared" si="251"/>
        <v>46.1</v>
      </c>
      <c r="L165" s="453"/>
      <c r="M165" s="222">
        <f t="shared" si="252"/>
        <v>0.53145336225596529</v>
      </c>
      <c r="N165" s="177">
        <f t="shared" si="253"/>
        <v>7.9064316702819957</v>
      </c>
      <c r="O165" s="177">
        <f t="shared" si="244"/>
        <v>2.6400000000000006</v>
      </c>
      <c r="P165" s="222">
        <f t="shared" si="254"/>
        <v>0.65886930585683301</v>
      </c>
      <c r="Q165" s="222">
        <f t="shared" si="255"/>
        <v>12</v>
      </c>
      <c r="R165" s="222"/>
      <c r="S165" s="177">
        <f t="shared" si="256"/>
        <v>56.86999618344862</v>
      </c>
      <c r="T165" s="177">
        <f t="shared" si="257"/>
        <v>12</v>
      </c>
      <c r="U165" s="222">
        <f t="shared" si="258"/>
        <v>0.48416278792218653</v>
      </c>
      <c r="V165" s="222">
        <f t="shared" si="259"/>
        <v>1.8828552863640586</v>
      </c>
      <c r="W165" s="222">
        <f t="shared" si="260"/>
        <v>1.6599867014474967</v>
      </c>
      <c r="X165" s="202">
        <f t="shared" si="261"/>
        <v>350</v>
      </c>
      <c r="Y165" s="453">
        <f t="shared" si="203"/>
        <v>282.25927191794085</v>
      </c>
      <c r="AA165" s="222">
        <f t="shared" si="262"/>
        <v>0.39045553145336231</v>
      </c>
      <c r="AB165" s="178">
        <f t="shared" si="263"/>
        <v>1.3387046792686708</v>
      </c>
      <c r="AC165" s="178">
        <f t="shared" si="264"/>
        <v>0.18294662645103313</v>
      </c>
      <c r="AD165" s="178"/>
      <c r="AE165" s="178">
        <f t="shared" si="265"/>
        <v>0.99428571428571422</v>
      </c>
      <c r="AF165" s="562">
        <f t="shared" si="266"/>
        <v>762.98057867617945</v>
      </c>
      <c r="AG165" s="545">
        <f t="shared" si="267"/>
        <v>0.10091999999999998</v>
      </c>
      <c r="AI165" s="178">
        <f t="shared" si="268"/>
        <v>0.4281744192888377</v>
      </c>
      <c r="AJ165" s="178">
        <f t="shared" si="269"/>
        <v>0.48416278792218653</v>
      </c>
      <c r="AK165" s="178">
        <f t="shared" si="270"/>
        <v>1.3438242873497677</v>
      </c>
      <c r="AM165" s="562">
        <f t="shared" si="271"/>
        <v>220.00000000000003</v>
      </c>
      <c r="AN165" s="471">
        <f t="shared" si="272"/>
        <v>282.25927191794085</v>
      </c>
      <c r="AP165">
        <f t="shared" si="273"/>
        <v>220.00000000000003</v>
      </c>
      <c r="AQ165">
        <f t="shared" si="274"/>
        <v>282.25927191794085</v>
      </c>
      <c r="AS165" s="5">
        <f t="shared" si="245"/>
        <v>3.5428419878115558</v>
      </c>
      <c r="AT165" s="5">
        <f t="shared" si="275"/>
        <v>1.8828552863640586</v>
      </c>
      <c r="AU165" s="5">
        <f t="shared" si="218"/>
        <v>1.6599867014474972</v>
      </c>
      <c r="AV165" s="5"/>
      <c r="AW165" s="178">
        <f t="shared" si="219"/>
        <v>0.53145336225596518</v>
      </c>
      <c r="AX165" s="178">
        <f t="shared" si="241"/>
        <v>2.7789473684210528</v>
      </c>
      <c r="AY165" s="178">
        <f t="shared" si="242"/>
        <v>0.22685284640171868</v>
      </c>
      <c r="AZ165" s="178">
        <f t="shared" si="246"/>
        <v>12.249999999999995</v>
      </c>
      <c r="BD165" s="178">
        <f t="shared" si="247"/>
        <v>0.20378084522892437</v>
      </c>
      <c r="BE165" s="178">
        <f t="shared" si="243"/>
        <v>0.38268125389491742</v>
      </c>
      <c r="BG165" s="545">
        <f t="shared" si="220"/>
        <v>1.453432150877519E-2</v>
      </c>
      <c r="BH165" s="545">
        <f t="shared" si="221"/>
        <v>4.7249999999999986E-2</v>
      </c>
      <c r="BI165" s="545">
        <f t="shared" si="222"/>
        <v>3.5282408989742607E-3</v>
      </c>
      <c r="BJ165" s="545">
        <f t="shared" si="223"/>
        <v>2.9993011363636354E-2</v>
      </c>
      <c r="BK165">
        <f t="shared" si="224"/>
        <v>6.2640000000000005E-3</v>
      </c>
      <c r="BM165" s="471">
        <f t="shared" si="225"/>
        <v>101.56957377138581</v>
      </c>
      <c r="BN165" s="545">
        <f t="shared" si="226"/>
        <v>6.6000000000000003E-2</v>
      </c>
      <c r="BQ165" s="471">
        <f t="shared" si="227"/>
        <v>66</v>
      </c>
      <c r="BR165" s="545">
        <f t="shared" si="228"/>
        <v>3.9450301238104085E-3</v>
      </c>
      <c r="BS165" s="545">
        <f t="shared" si="229"/>
        <v>1.3180044787432761E-2</v>
      </c>
      <c r="BT165" s="545">
        <f t="shared" si="230"/>
        <v>1.0916139186003948E-2</v>
      </c>
      <c r="BU165" s="545"/>
      <c r="BV165" s="545">
        <f t="shared" si="231"/>
        <v>1.4887218045112784E-2</v>
      </c>
      <c r="BW165" s="471">
        <f t="shared" si="232"/>
        <v>42.928432142359895</v>
      </c>
      <c r="BX165" s="178">
        <f t="shared" si="233"/>
        <v>0.21049800591374573</v>
      </c>
      <c r="BY165" s="5">
        <f t="shared" si="234"/>
        <v>2.6400000000000006</v>
      </c>
      <c r="BZ165" s="178">
        <f t="shared" si="235"/>
        <v>0.92615395433463243</v>
      </c>
      <c r="CA165" s="5">
        <f t="shared" si="236"/>
        <v>92.615395433463249</v>
      </c>
      <c r="CD165" s="580">
        <f t="shared" si="276"/>
        <v>-50</v>
      </c>
      <c r="CE165">
        <f t="shared" si="277"/>
        <v>-50</v>
      </c>
    </row>
    <row r="166" spans="5:83" x14ac:dyDescent="0.2">
      <c r="E166" s="175">
        <v>56</v>
      </c>
      <c r="F166" s="222">
        <f t="shared" si="278"/>
        <v>0.22400000000000003</v>
      </c>
      <c r="G166" s="222"/>
      <c r="H166" s="222">
        <f t="shared" si="248"/>
        <v>2.6880000000000006</v>
      </c>
      <c r="I166" s="558">
        <f t="shared" si="249"/>
        <v>21.6</v>
      </c>
      <c r="J166" s="453">
        <f t="shared" si="250"/>
        <v>24.5</v>
      </c>
      <c r="K166" s="453">
        <f t="shared" si="251"/>
        <v>46.1</v>
      </c>
      <c r="L166" s="453"/>
      <c r="M166" s="222">
        <f t="shared" si="252"/>
        <v>0.53145336225596529</v>
      </c>
      <c r="N166" s="177">
        <f t="shared" si="253"/>
        <v>7.9064316702819957</v>
      </c>
      <c r="O166" s="177">
        <f t="shared" si="244"/>
        <v>2.6880000000000006</v>
      </c>
      <c r="P166" s="222">
        <f t="shared" si="254"/>
        <v>0.65886930585683301</v>
      </c>
      <c r="Q166" s="222">
        <f t="shared" si="255"/>
        <v>12</v>
      </c>
      <c r="R166" s="222"/>
      <c r="S166" s="177">
        <f t="shared" si="256"/>
        <v>55.663467474298713</v>
      </c>
      <c r="T166" s="177">
        <f t="shared" si="257"/>
        <v>12</v>
      </c>
      <c r="U166" s="222">
        <f t="shared" si="258"/>
        <v>0.49296574770258988</v>
      </c>
      <c r="V166" s="222">
        <f t="shared" si="259"/>
        <v>1.9170890188434051</v>
      </c>
      <c r="W166" s="222">
        <f t="shared" si="260"/>
        <v>1.6901682778374509</v>
      </c>
      <c r="X166" s="202">
        <f t="shared" si="261"/>
        <v>350</v>
      </c>
      <c r="Y166" s="453">
        <f t="shared" si="203"/>
        <v>277.21892777654909</v>
      </c>
      <c r="AA166" s="222">
        <f t="shared" si="262"/>
        <v>0.39045553145336231</v>
      </c>
      <c r="AB166" s="178">
        <f t="shared" si="263"/>
        <v>1.3387046792686708</v>
      </c>
      <c r="AC166" s="178">
        <f t="shared" si="264"/>
        <v>0.18294662645103313</v>
      </c>
      <c r="AD166" s="178"/>
      <c r="AE166" s="178">
        <f t="shared" si="265"/>
        <v>0.99428571428571422</v>
      </c>
      <c r="AF166" s="562">
        <f t="shared" si="266"/>
        <v>776.85295283392816</v>
      </c>
      <c r="AG166" s="545">
        <f t="shared" si="267"/>
        <v>0.10091999999999998</v>
      </c>
      <c r="AI166" s="178">
        <f t="shared" si="268"/>
        <v>0.43204937989385739</v>
      </c>
      <c r="AJ166" s="178">
        <f t="shared" si="269"/>
        <v>0.49296574770258988</v>
      </c>
      <c r="AK166" s="178">
        <f t="shared" si="270"/>
        <v>1.3503449982982147</v>
      </c>
      <c r="AM166" s="562">
        <f t="shared" si="271"/>
        <v>224.00000000000003</v>
      </c>
      <c r="AN166" s="471">
        <f t="shared" si="272"/>
        <v>277.21892777654909</v>
      </c>
      <c r="AP166">
        <f t="shared" si="273"/>
        <v>224.00000000000003</v>
      </c>
      <c r="AQ166">
        <f t="shared" si="274"/>
        <v>277.21892777654909</v>
      </c>
      <c r="AS166" s="5">
        <f t="shared" si="245"/>
        <v>3.607257296680856</v>
      </c>
      <c r="AT166" s="5">
        <f t="shared" si="275"/>
        <v>1.9170890188434051</v>
      </c>
      <c r="AU166" s="5">
        <f t="shared" si="218"/>
        <v>1.6901682778374509</v>
      </c>
      <c r="AV166" s="5"/>
      <c r="AW166" s="178">
        <f t="shared" si="219"/>
        <v>0.53145336225596529</v>
      </c>
      <c r="AX166" s="178">
        <f t="shared" si="241"/>
        <v>2.8294736842105266</v>
      </c>
      <c r="AY166" s="178">
        <f t="shared" si="242"/>
        <v>0.23097744360902259</v>
      </c>
      <c r="AZ166" s="178">
        <f t="shared" si="246"/>
        <v>12.25</v>
      </c>
      <c r="BD166" s="178">
        <f t="shared" si="247"/>
        <v>0.20748595150581392</v>
      </c>
      <c r="BE166" s="178">
        <f t="shared" si="243"/>
        <v>0.3896390948748249</v>
      </c>
      <c r="BG166" s="545">
        <f t="shared" si="220"/>
        <v>1.5067647025295536E-2</v>
      </c>
      <c r="BH166" s="545">
        <f t="shared" si="221"/>
        <v>4.7249999999999993E-2</v>
      </c>
      <c r="BI166" s="545">
        <f t="shared" si="222"/>
        <v>3.4652365972068638E-3</v>
      </c>
      <c r="BJ166" s="545">
        <f t="shared" si="223"/>
        <v>2.9457421874999994E-2</v>
      </c>
      <c r="BK166">
        <f t="shared" si="224"/>
        <v>6.2640000000000005E-3</v>
      </c>
      <c r="BM166" s="471">
        <f t="shared" si="225"/>
        <v>101.5043054975024</v>
      </c>
      <c r="BN166" s="545">
        <f t="shared" si="226"/>
        <v>6.720000000000001E-2</v>
      </c>
      <c r="BQ166" s="471">
        <f t="shared" si="227"/>
        <v>67.2</v>
      </c>
      <c r="BR166" s="545">
        <f t="shared" si="228"/>
        <v>4.0897899068659312E-3</v>
      </c>
      <c r="BS166" s="545">
        <f t="shared" si="229"/>
        <v>1.3663676182938551E-2</v>
      </c>
      <c r="BT166" s="545">
        <f t="shared" si="230"/>
        <v>1.0916139186003948E-2</v>
      </c>
      <c r="BU166" s="545"/>
      <c r="BV166" s="545">
        <f t="shared" si="231"/>
        <v>1.5157894736842108E-2</v>
      </c>
      <c r="BW166" s="471">
        <f t="shared" si="232"/>
        <v>43.827500012650539</v>
      </c>
      <c r="BX166" s="178">
        <f t="shared" si="233"/>
        <v>0.21253180551015297</v>
      </c>
      <c r="BY166" s="5">
        <f t="shared" si="234"/>
        <v>2.6880000000000006</v>
      </c>
      <c r="BZ166" s="178">
        <f t="shared" si="235"/>
        <v>0.92672660747715108</v>
      </c>
      <c r="CA166" s="5">
        <f t="shared" si="236"/>
        <v>92.672660747715113</v>
      </c>
      <c r="CD166" s="580">
        <f t="shared" si="276"/>
        <v>-50</v>
      </c>
      <c r="CE166">
        <f t="shared" si="277"/>
        <v>-50</v>
      </c>
    </row>
    <row r="167" spans="5:83" x14ac:dyDescent="0.2">
      <c r="E167" s="175">
        <v>57</v>
      </c>
      <c r="F167" s="222">
        <f t="shared" si="278"/>
        <v>0.22799999999999998</v>
      </c>
      <c r="G167" s="222"/>
      <c r="H167" s="222">
        <f t="shared" si="248"/>
        <v>2.7359999999999998</v>
      </c>
      <c r="I167" s="558">
        <f t="shared" si="249"/>
        <v>21.6</v>
      </c>
      <c r="J167" s="453">
        <f t="shared" si="250"/>
        <v>24.5</v>
      </c>
      <c r="K167" s="453">
        <f t="shared" si="251"/>
        <v>46.1</v>
      </c>
      <c r="L167" s="453"/>
      <c r="M167" s="222">
        <f t="shared" si="252"/>
        <v>0.53145336225596529</v>
      </c>
      <c r="N167" s="177">
        <f t="shared" si="253"/>
        <v>7.9064316702819957</v>
      </c>
      <c r="O167" s="177">
        <f t="shared" si="244"/>
        <v>2.7359999999999998</v>
      </c>
      <c r="P167" s="222">
        <f t="shared" si="254"/>
        <v>0.65886930585683301</v>
      </c>
      <c r="Q167" s="222">
        <f t="shared" si="255"/>
        <v>12</v>
      </c>
      <c r="R167" s="222"/>
      <c r="S167" s="177">
        <f t="shared" si="256"/>
        <v>54.499315684885275</v>
      </c>
      <c r="T167" s="177">
        <f t="shared" si="257"/>
        <v>12</v>
      </c>
      <c r="U167" s="222">
        <f t="shared" si="258"/>
        <v>0.50176870748299318</v>
      </c>
      <c r="V167" s="222">
        <f t="shared" si="259"/>
        <v>1.9513227513227509</v>
      </c>
      <c r="W167" s="222">
        <f t="shared" si="260"/>
        <v>1.7203498542274049</v>
      </c>
      <c r="X167" s="202">
        <f t="shared" si="261"/>
        <v>350</v>
      </c>
      <c r="Y167" s="453">
        <f t="shared" si="203"/>
        <v>272.35543781555708</v>
      </c>
      <c r="AA167" s="222">
        <f t="shared" si="262"/>
        <v>0.39045553145336231</v>
      </c>
      <c r="AB167" s="178">
        <f t="shared" si="263"/>
        <v>1.3387046792686708</v>
      </c>
      <c r="AC167" s="178">
        <f t="shared" si="264"/>
        <v>0.18294662645103313</v>
      </c>
      <c r="AD167" s="178"/>
      <c r="AE167" s="178">
        <f t="shared" si="265"/>
        <v>0.99428571428571422</v>
      </c>
      <c r="AF167" s="562">
        <f t="shared" si="266"/>
        <v>790.72532699167675</v>
      </c>
      <c r="AG167" s="545">
        <f t="shared" si="267"/>
        <v>0.10091999999999998</v>
      </c>
      <c r="AI167" s="178">
        <f t="shared" si="268"/>
        <v>0.43588989435406733</v>
      </c>
      <c r="AJ167" s="178">
        <f t="shared" si="269"/>
        <v>0.50176870748299318</v>
      </c>
      <c r="AK167" s="178">
        <f t="shared" si="270"/>
        <v>1.3568657092466616</v>
      </c>
      <c r="AM167" s="562">
        <f t="shared" si="271"/>
        <v>227.99999999999997</v>
      </c>
      <c r="AN167" s="471">
        <f t="shared" si="272"/>
        <v>272.35543781555708</v>
      </c>
      <c r="AP167">
        <f t="shared" si="273"/>
        <v>227.99999999999997</v>
      </c>
      <c r="AQ167">
        <f t="shared" si="274"/>
        <v>272.35543781555708</v>
      </c>
      <c r="AS167" s="5">
        <f t="shared" si="245"/>
        <v>3.6716726055501558</v>
      </c>
      <c r="AT167" s="5">
        <f t="shared" si="275"/>
        <v>1.9513227513227509</v>
      </c>
      <c r="AU167" s="5">
        <f t="shared" si="218"/>
        <v>1.7203498542274049</v>
      </c>
      <c r="AV167" s="5"/>
      <c r="AW167" s="178">
        <f t="shared" si="219"/>
        <v>0.53145336225596529</v>
      </c>
      <c r="AX167" s="178">
        <f t="shared" si="241"/>
        <v>2.88</v>
      </c>
      <c r="AY167" s="178">
        <f t="shared" si="242"/>
        <v>0.23510204081632652</v>
      </c>
      <c r="AZ167" s="178">
        <f t="shared" si="246"/>
        <v>12.25</v>
      </c>
      <c r="BD167" s="178">
        <f t="shared" si="247"/>
        <v>0.21119105778270342</v>
      </c>
      <c r="BE167" s="178">
        <f t="shared" si="243"/>
        <v>0.39659693585473244</v>
      </c>
      <c r="BG167" s="545">
        <f t="shared" si="220"/>
        <v>1.5610582010582009E-2</v>
      </c>
      <c r="BH167" s="545">
        <f t="shared" si="221"/>
        <v>4.725E-2</v>
      </c>
      <c r="BI167" s="545">
        <f t="shared" si="222"/>
        <v>3.4044429726944633E-3</v>
      </c>
      <c r="BJ167" s="545">
        <f t="shared" si="223"/>
        <v>2.8940625000000005E-2</v>
      </c>
      <c r="BK167">
        <f t="shared" si="224"/>
        <v>6.2640000000000005E-3</v>
      </c>
      <c r="BM167" s="471">
        <f t="shared" si="225"/>
        <v>101.46964998327647</v>
      </c>
      <c r="BN167" s="545">
        <f t="shared" si="226"/>
        <v>6.8399999999999989E-2</v>
      </c>
      <c r="BQ167" s="471">
        <f t="shared" si="227"/>
        <v>68.399999999999991</v>
      </c>
      <c r="BR167" s="545">
        <f t="shared" si="228"/>
        <v>4.2371579743008311E-3</v>
      </c>
      <c r="BS167" s="545">
        <f t="shared" si="229"/>
        <v>1.4156021657642646E-2</v>
      </c>
      <c r="BT167" s="545">
        <f t="shared" si="230"/>
        <v>1.0916139186003935E-2</v>
      </c>
      <c r="BU167" s="545"/>
      <c r="BV167" s="545">
        <f t="shared" si="231"/>
        <v>1.5428571428571429E-2</v>
      </c>
      <c r="BW167" s="471">
        <f t="shared" si="232"/>
        <v>44.737890246518845</v>
      </c>
      <c r="BX167" s="178">
        <f t="shared" si="233"/>
        <v>0.21460754022979531</v>
      </c>
      <c r="BY167" s="5">
        <f t="shared" si="234"/>
        <v>2.7359999999999998</v>
      </c>
      <c r="BZ167" s="178">
        <f t="shared" si="235"/>
        <v>0.92726666040679828</v>
      </c>
      <c r="CA167" s="5">
        <f t="shared" si="236"/>
        <v>92.726666040679831</v>
      </c>
      <c r="CD167" s="580">
        <f t="shared" si="276"/>
        <v>-50</v>
      </c>
      <c r="CE167">
        <f t="shared" si="277"/>
        <v>-50</v>
      </c>
    </row>
    <row r="168" spans="5:83" x14ac:dyDescent="0.2">
      <c r="E168" s="175">
        <v>58</v>
      </c>
      <c r="F168" s="222">
        <f t="shared" si="278"/>
        <v>0.23199999999999998</v>
      </c>
      <c r="G168" s="222"/>
      <c r="H168" s="222">
        <f t="shared" si="248"/>
        <v>2.7839999999999998</v>
      </c>
      <c r="I168" s="558">
        <f t="shared" si="249"/>
        <v>21.6</v>
      </c>
      <c r="J168" s="453">
        <f t="shared" si="250"/>
        <v>24.5</v>
      </c>
      <c r="K168" s="453">
        <f t="shared" si="251"/>
        <v>46.1</v>
      </c>
      <c r="L168" s="453"/>
      <c r="M168" s="222">
        <f t="shared" si="252"/>
        <v>0.53145336225596529</v>
      </c>
      <c r="N168" s="177">
        <f t="shared" si="253"/>
        <v>7.9064316702819957</v>
      </c>
      <c r="O168" s="177">
        <f t="shared" si="244"/>
        <v>2.7839999999999998</v>
      </c>
      <c r="P168" s="222">
        <f t="shared" si="254"/>
        <v>0.65886930585683301</v>
      </c>
      <c r="Q168" s="222">
        <f t="shared" si="255"/>
        <v>12</v>
      </c>
      <c r="R168" s="222"/>
      <c r="S168" s="177">
        <f t="shared" si="256"/>
        <v>53.375349322365608</v>
      </c>
      <c r="T168" s="177">
        <f t="shared" si="257"/>
        <v>12</v>
      </c>
      <c r="U168" s="222">
        <f t="shared" si="258"/>
        <v>0.51057166726339653</v>
      </c>
      <c r="V168" s="222">
        <f t="shared" si="259"/>
        <v>1.9855564838020974</v>
      </c>
      <c r="W168" s="222">
        <f t="shared" si="260"/>
        <v>1.7505314306173594</v>
      </c>
      <c r="X168" s="202">
        <f t="shared" si="261"/>
        <v>350</v>
      </c>
      <c r="Y168" s="453">
        <f t="shared" si="203"/>
        <v>267.65965440494404</v>
      </c>
      <c r="AA168" s="222">
        <f t="shared" si="262"/>
        <v>0.39045553145336231</v>
      </c>
      <c r="AB168" s="178">
        <f t="shared" si="263"/>
        <v>1.3387046792686708</v>
      </c>
      <c r="AC168" s="178">
        <f t="shared" si="264"/>
        <v>0.18294662645103313</v>
      </c>
      <c r="AD168" s="178"/>
      <c r="AE168" s="178">
        <f t="shared" si="265"/>
        <v>0.99428571428571422</v>
      </c>
      <c r="AF168" s="562">
        <f t="shared" si="266"/>
        <v>804.59770114942546</v>
      </c>
      <c r="AG168" s="545">
        <f t="shared" si="267"/>
        <v>0.10091999999999998</v>
      </c>
      <c r="AI168" s="178">
        <f t="shared" si="268"/>
        <v>0.43969686527576396</v>
      </c>
      <c r="AJ168" s="178">
        <f t="shared" si="269"/>
        <v>0.51057166726339653</v>
      </c>
      <c r="AK168" s="178">
        <f t="shared" si="270"/>
        <v>1.3633864201951085</v>
      </c>
      <c r="AM168" s="562">
        <f t="shared" si="271"/>
        <v>231.99999999999997</v>
      </c>
      <c r="AN168" s="471">
        <f t="shared" si="272"/>
        <v>267.65965440494404</v>
      </c>
      <c r="AP168">
        <f t="shared" si="273"/>
        <v>231.99999999999997</v>
      </c>
      <c r="AQ168">
        <f t="shared" si="274"/>
        <v>267.65965440494404</v>
      </c>
      <c r="AS168" s="5">
        <f t="shared" si="245"/>
        <v>3.736087914419457</v>
      </c>
      <c r="AT168" s="5">
        <f t="shared" si="275"/>
        <v>1.9855564838020974</v>
      </c>
      <c r="AU168" s="5">
        <f t="shared" si="218"/>
        <v>1.7505314306173596</v>
      </c>
      <c r="AV168" s="5"/>
      <c r="AW168" s="178">
        <f t="shared" si="219"/>
        <v>0.53145336225596529</v>
      </c>
      <c r="AX168" s="178">
        <f t="shared" si="241"/>
        <v>2.9305263157894736</v>
      </c>
      <c r="AY168" s="178">
        <f t="shared" si="242"/>
        <v>0.23922663802363048</v>
      </c>
      <c r="AZ168" s="178">
        <f t="shared" si="246"/>
        <v>12.250000000000002</v>
      </c>
      <c r="BD168" s="178">
        <f t="shared" si="247"/>
        <v>0.21489616405959294</v>
      </c>
      <c r="BE168" s="178">
        <f t="shared" si="243"/>
        <v>0.40355477683463997</v>
      </c>
      <c r="BG168" s="545">
        <f t="shared" si="220"/>
        <v>1.6163126464634619E-2</v>
      </c>
      <c r="BH168" s="545">
        <f t="shared" si="221"/>
        <v>4.725E-2</v>
      </c>
      <c r="BI168" s="545">
        <f t="shared" si="222"/>
        <v>3.3457456800618005E-3</v>
      </c>
      <c r="BJ168" s="545">
        <f t="shared" si="223"/>
        <v>2.8441648706896559E-2</v>
      </c>
      <c r="BK168">
        <f t="shared" si="224"/>
        <v>6.2640000000000005E-3</v>
      </c>
      <c r="BM168" s="471">
        <f t="shared" si="225"/>
        <v>101.46452085159298</v>
      </c>
      <c r="BN168" s="545">
        <f t="shared" si="226"/>
        <v>6.9599999999999995E-2</v>
      </c>
      <c r="BQ168" s="471">
        <f t="shared" si="227"/>
        <v>69.599999999999994</v>
      </c>
      <c r="BR168" s="545">
        <f t="shared" si="228"/>
        <v>4.3871343261151115E-3</v>
      </c>
      <c r="BS168" s="545">
        <f t="shared" si="229"/>
        <v>1.4657081211545046E-2</v>
      </c>
      <c r="BT168" s="545">
        <f t="shared" si="230"/>
        <v>1.0916139186003964E-2</v>
      </c>
      <c r="BU168" s="545"/>
      <c r="BV168" s="545">
        <f t="shared" si="231"/>
        <v>1.5699248120300754E-2</v>
      </c>
      <c r="BW168" s="471">
        <f t="shared" si="232"/>
        <v>45.659602843964876</v>
      </c>
      <c r="BX168" s="178">
        <f t="shared" si="233"/>
        <v>0.21672412369555782</v>
      </c>
      <c r="BY168" s="5">
        <f t="shared" si="234"/>
        <v>2.7839999999999998</v>
      </c>
      <c r="BZ168" s="178">
        <f t="shared" si="235"/>
        <v>0.92777605845729993</v>
      </c>
      <c r="CA168" s="5">
        <f t="shared" si="236"/>
        <v>92.777605845729994</v>
      </c>
      <c r="CD168" s="580">
        <f t="shared" si="276"/>
        <v>-50</v>
      </c>
      <c r="CE168">
        <f t="shared" si="277"/>
        <v>-50</v>
      </c>
    </row>
    <row r="169" spans="5:83" x14ac:dyDescent="0.2">
      <c r="E169" s="175">
        <v>59</v>
      </c>
      <c r="F169" s="222">
        <f t="shared" si="278"/>
        <v>0.23599999999999999</v>
      </c>
      <c r="G169" s="222"/>
      <c r="H169" s="222">
        <f t="shared" si="248"/>
        <v>2.8319999999999999</v>
      </c>
      <c r="I169" s="558">
        <f t="shared" si="249"/>
        <v>21.6</v>
      </c>
      <c r="J169" s="453">
        <f t="shared" si="250"/>
        <v>24.5</v>
      </c>
      <c r="K169" s="453">
        <f t="shared" si="251"/>
        <v>46.1</v>
      </c>
      <c r="L169" s="453"/>
      <c r="M169" s="222">
        <f t="shared" si="252"/>
        <v>0.53145336225596529</v>
      </c>
      <c r="N169" s="177">
        <f t="shared" si="253"/>
        <v>7.9064316702819957</v>
      </c>
      <c r="O169" s="177">
        <f t="shared" si="244"/>
        <v>2.8319999999999999</v>
      </c>
      <c r="P169" s="222">
        <f t="shared" si="254"/>
        <v>0.65886930585683301</v>
      </c>
      <c r="Q169" s="222">
        <f t="shared" si="255"/>
        <v>12</v>
      </c>
      <c r="R169" s="222"/>
      <c r="S169" s="177">
        <f t="shared" si="256"/>
        <v>52.289525474944483</v>
      </c>
      <c r="T169" s="177">
        <f t="shared" si="257"/>
        <v>12</v>
      </c>
      <c r="U169" s="222">
        <f t="shared" si="258"/>
        <v>0.51937462704379989</v>
      </c>
      <c r="V169" s="222">
        <f t="shared" si="259"/>
        <v>2.0197902162814434</v>
      </c>
      <c r="W169" s="222">
        <f t="shared" si="260"/>
        <v>1.7807130070073138</v>
      </c>
      <c r="X169" s="202">
        <f t="shared" si="261"/>
        <v>350</v>
      </c>
      <c r="Y169" s="453">
        <f t="shared" si="203"/>
        <v>263.12305009299592</v>
      </c>
      <c r="AA169" s="222">
        <f t="shared" si="262"/>
        <v>0.39045553145336231</v>
      </c>
      <c r="AB169" s="178">
        <f t="shared" si="263"/>
        <v>1.3387046792686708</v>
      </c>
      <c r="AC169" s="178">
        <f t="shared" si="264"/>
        <v>0.18294662645103313</v>
      </c>
      <c r="AD169" s="178"/>
      <c r="AE169" s="178">
        <f t="shared" si="265"/>
        <v>0.99428571428571422</v>
      </c>
      <c r="AF169" s="562">
        <f t="shared" si="266"/>
        <v>818.47007530717417</v>
      </c>
      <c r="AG169" s="545">
        <f t="shared" si="267"/>
        <v>0.10091999999999998</v>
      </c>
      <c r="AI169" s="178">
        <f t="shared" si="268"/>
        <v>0.44347115652166902</v>
      </c>
      <c r="AJ169" s="178">
        <f t="shared" si="269"/>
        <v>0.51937462704379989</v>
      </c>
      <c r="AK169" s="178">
        <f t="shared" si="270"/>
        <v>1.3699071311435556</v>
      </c>
      <c r="AM169" s="562">
        <f t="shared" si="271"/>
        <v>236</v>
      </c>
      <c r="AN169" s="471">
        <f t="shared" si="272"/>
        <v>263.12305009299592</v>
      </c>
      <c r="AP169">
        <f t="shared" si="273"/>
        <v>236</v>
      </c>
      <c r="AQ169">
        <f t="shared" si="274"/>
        <v>263.12305009299592</v>
      </c>
      <c r="AS169" s="5">
        <f t="shared" si="245"/>
        <v>3.8005032232887568</v>
      </c>
      <c r="AT169" s="5">
        <f t="shared" si="275"/>
        <v>2.0197902162814434</v>
      </c>
      <c r="AU169" s="5">
        <f t="shared" si="218"/>
        <v>1.7807130070073134</v>
      </c>
      <c r="AV169" s="5"/>
      <c r="AW169" s="178">
        <f t="shared" si="219"/>
        <v>0.53145336225596529</v>
      </c>
      <c r="AX169" s="178">
        <f t="shared" si="241"/>
        <v>2.9810526315789478</v>
      </c>
      <c r="AY169" s="178">
        <f t="shared" si="242"/>
        <v>0.24335123523093444</v>
      </c>
      <c r="AZ169" s="178">
        <f t="shared" si="246"/>
        <v>12.250000000000004</v>
      </c>
      <c r="BD169" s="178">
        <f t="shared" si="247"/>
        <v>0.21860127033648244</v>
      </c>
      <c r="BE169" s="178">
        <f t="shared" si="243"/>
        <v>0.41051261781454756</v>
      </c>
      <c r="BG169" s="545">
        <f t="shared" si="220"/>
        <v>1.6725280387453356E-2</v>
      </c>
      <c r="BH169" s="545">
        <f t="shared" si="221"/>
        <v>4.7250000000000007E-2</v>
      </c>
      <c r="BI169" s="545">
        <f t="shared" si="222"/>
        <v>3.2890381261624487E-3</v>
      </c>
      <c r="BJ169" s="545">
        <f t="shared" si="223"/>
        <v>2.7959586864406794E-2</v>
      </c>
      <c r="BK169">
        <f t="shared" si="224"/>
        <v>6.2640000000000005E-3</v>
      </c>
      <c r="BM169" s="471">
        <f t="shared" si="225"/>
        <v>101.48790537802262</v>
      </c>
      <c r="BN169" s="545">
        <f t="shared" si="226"/>
        <v>7.0799999999999988E-2</v>
      </c>
      <c r="BQ169" s="471">
        <f t="shared" si="227"/>
        <v>70.799999999999983</v>
      </c>
      <c r="BR169" s="545">
        <f t="shared" si="228"/>
        <v>4.5397189623087681E-3</v>
      </c>
      <c r="BS169" s="545">
        <f t="shared" si="229"/>
        <v>1.5166854844645751E-2</v>
      </c>
      <c r="BT169" s="545">
        <f t="shared" si="230"/>
        <v>1.0916139186003931E-2</v>
      </c>
      <c r="BU169" s="545"/>
      <c r="BV169" s="545">
        <f t="shared" si="231"/>
        <v>1.5969924812030079E-2</v>
      </c>
      <c r="BW169" s="471">
        <f t="shared" si="232"/>
        <v>46.592637804988527</v>
      </c>
      <c r="BX169" s="178">
        <f t="shared" si="233"/>
        <v>0.21888054318301112</v>
      </c>
      <c r="BY169" s="5">
        <f t="shared" si="234"/>
        <v>2.8319999999999999</v>
      </c>
      <c r="BZ169" s="178">
        <f t="shared" si="235"/>
        <v>0.92825659999304633</v>
      </c>
      <c r="CA169" s="5">
        <f t="shared" si="236"/>
        <v>92.825659999304634</v>
      </c>
      <c r="CD169" s="580">
        <f t="shared" si="276"/>
        <v>-50</v>
      </c>
      <c r="CE169">
        <f t="shared" si="277"/>
        <v>-50</v>
      </c>
    </row>
    <row r="170" spans="5:83" x14ac:dyDescent="0.2">
      <c r="E170" s="175">
        <v>60</v>
      </c>
      <c r="F170" s="222">
        <f t="shared" si="278"/>
        <v>0.24</v>
      </c>
      <c r="G170" s="222"/>
      <c r="H170" s="222">
        <f t="shared" si="248"/>
        <v>2.88</v>
      </c>
      <c r="I170" s="558">
        <f t="shared" si="249"/>
        <v>21.6</v>
      </c>
      <c r="J170" s="453">
        <f t="shared" si="250"/>
        <v>24.5</v>
      </c>
      <c r="K170" s="453">
        <f t="shared" si="251"/>
        <v>46.1</v>
      </c>
      <c r="L170" s="453"/>
      <c r="M170" s="222">
        <f t="shared" si="252"/>
        <v>0.53145336225596529</v>
      </c>
      <c r="N170" s="177">
        <f t="shared" si="253"/>
        <v>7.9064316702819957</v>
      </c>
      <c r="O170" s="177">
        <f t="shared" si="244"/>
        <v>2.88</v>
      </c>
      <c r="P170" s="222">
        <f t="shared" si="254"/>
        <v>0.65886930585683301</v>
      </c>
      <c r="Q170" s="222">
        <f t="shared" si="255"/>
        <v>12</v>
      </c>
      <c r="R170" s="222"/>
      <c r="S170" s="177">
        <f t="shared" si="256"/>
        <v>51.239937430200023</v>
      </c>
      <c r="T170" s="177">
        <f t="shared" si="257"/>
        <v>12</v>
      </c>
      <c r="U170" s="222">
        <f t="shared" si="258"/>
        <v>0.52817758682420335</v>
      </c>
      <c r="V170" s="222">
        <f t="shared" si="259"/>
        <v>2.0540239487607903</v>
      </c>
      <c r="W170" s="222">
        <f t="shared" si="260"/>
        <v>1.8108945833972685</v>
      </c>
      <c r="X170" s="202">
        <f t="shared" si="261"/>
        <v>350</v>
      </c>
      <c r="Y170" s="453">
        <f t="shared" ref="Y170:Y210" si="279">MIN(1/(V170+W170)*1000, 350)</f>
        <v>258.73766592477926</v>
      </c>
      <c r="AA170" s="222">
        <f t="shared" si="262"/>
        <v>0.39045553145336231</v>
      </c>
      <c r="AB170" s="178">
        <f t="shared" si="263"/>
        <v>1.3387046792686708</v>
      </c>
      <c r="AC170" s="178">
        <f t="shared" si="264"/>
        <v>0.18294662645103313</v>
      </c>
      <c r="AD170" s="178"/>
      <c r="AE170" s="178">
        <f t="shared" si="265"/>
        <v>0.99428571428571422</v>
      </c>
      <c r="AF170" s="562">
        <f t="shared" si="266"/>
        <v>832.34244946492288</v>
      </c>
      <c r="AG170" s="545">
        <f t="shared" si="267"/>
        <v>0.10091999999999998</v>
      </c>
      <c r="AI170" s="178">
        <f t="shared" si="268"/>
        <v>0.44721359549995793</v>
      </c>
      <c r="AJ170" s="178">
        <f t="shared" si="269"/>
        <v>0.52817758682420335</v>
      </c>
      <c r="AK170" s="178">
        <f t="shared" si="270"/>
        <v>1.3764278420920024</v>
      </c>
      <c r="AM170" s="562">
        <f t="shared" si="271"/>
        <v>240</v>
      </c>
      <c r="AN170" s="471">
        <f t="shared" si="272"/>
        <v>258.73766592477926</v>
      </c>
      <c r="AP170">
        <f t="shared" si="273"/>
        <v>240</v>
      </c>
      <c r="AQ170">
        <f t="shared" si="274"/>
        <v>258.73766592477926</v>
      </c>
      <c r="AS170" s="5">
        <f t="shared" si="245"/>
        <v>3.8649185321580588</v>
      </c>
      <c r="AT170" s="5">
        <f t="shared" si="275"/>
        <v>2.0540239487607903</v>
      </c>
      <c r="AU170" s="5">
        <f t="shared" ref="AU170:AU233" si="280">AS170-AT170</f>
        <v>1.8108945833972685</v>
      </c>
      <c r="AV170" s="5"/>
      <c r="AW170" s="178">
        <f t="shared" ref="AW170:AW233" si="281">AT170/AS170</f>
        <v>0.53145336225596529</v>
      </c>
      <c r="AX170" s="178">
        <f t="shared" si="241"/>
        <v>3.0315789473684212</v>
      </c>
      <c r="AY170" s="178">
        <f t="shared" si="242"/>
        <v>0.24747583243823845</v>
      </c>
      <c r="AZ170" s="178">
        <f t="shared" si="246"/>
        <v>12.25</v>
      </c>
      <c r="BD170" s="178">
        <f t="shared" si="247"/>
        <v>0.22230637661337202</v>
      </c>
      <c r="BE170" s="178">
        <f t="shared" si="243"/>
        <v>0.41747045879445516</v>
      </c>
      <c r="BG170" s="545">
        <f t="shared" ref="BG170:BG210" si="282">Rdson*BD170^2</f>
        <v>1.7297043779038238E-2</v>
      </c>
      <c r="BH170" s="545">
        <f t="shared" ref="BH170:BH210" si="283">0.5*K170*AJ170*AN170*1000*Trise</f>
        <v>4.725E-2</v>
      </c>
      <c r="BI170" s="545">
        <f t="shared" ref="BI170:BI210" si="284">Qg*Vdd*AN170*1000</f>
        <v>3.2342208240597409E-3</v>
      </c>
      <c r="BJ170" s="545">
        <f t="shared" ref="BJ170:BJ210" si="285">0.5*(Coss+Csw)*K170^2*AN170*1000</f>
        <v>2.749359375000001E-2</v>
      </c>
      <c r="BK170">
        <f t="shared" ref="BK170:BK210" si="286">I170*IQ</f>
        <v>6.2640000000000005E-3</v>
      </c>
      <c r="BM170" s="471">
        <f t="shared" ref="BM170:BM210" si="287">SUM(BG170:BK170)*1000</f>
        <v>101.53885835309799</v>
      </c>
      <c r="BN170" s="545">
        <f t="shared" ref="BN170:BN210" si="288">Vfwd2*F170</f>
        <v>7.1999999999999995E-2</v>
      </c>
      <c r="BQ170" s="471">
        <f t="shared" ref="BQ170:BQ210" si="289">SUM(BN170:BP170)*1000</f>
        <v>72</v>
      </c>
      <c r="BR170" s="545">
        <f t="shared" ref="BR170:BR210" si="290">Rdcr_pri*BD170^2</f>
        <v>4.694911882881808E-3</v>
      </c>
      <c r="BS170" s="545">
        <f t="shared" ref="BS170:BS210" si="291">Rdcr_sec*BE170^2</f>
        <v>1.5685342556944759E-2</v>
      </c>
      <c r="BT170" s="545">
        <f t="shared" ref="BT170:BT210" si="292">AJ170^2.5*AN170^2.5*k_core</f>
        <v>1.0916139186003957E-2</v>
      </c>
      <c r="BU170" s="545"/>
      <c r="BV170" s="545">
        <f t="shared" ref="BV170:BV210" si="293">0.5*Lleak*0.000000001*AJ170^2*AN170*1000</f>
        <v>1.6240601503759399E-2</v>
      </c>
      <c r="BW170" s="471">
        <f t="shared" ref="BW170:BW210" si="294">SUM(BR170:BV170)*1000</f>
        <v>47.536995129589918</v>
      </c>
      <c r="BX170" s="178">
        <f t="shared" ref="BX170:BX210" si="295">SUM(BG170:BK170,BN170:BP170,BR170:BV170)</f>
        <v>0.22107585348268791</v>
      </c>
      <c r="BY170" s="5">
        <f t="shared" ref="BY170:BY210" si="296">MIN(H170,O170)</f>
        <v>2.88</v>
      </c>
      <c r="BZ170" s="178">
        <f t="shared" ref="BZ170:BZ210" si="297">BY170/(BY170+BX170)</f>
        <v>0.92870994973102416</v>
      </c>
      <c r="CA170" s="5">
        <f t="shared" ref="CA170:CA210" si="298">BZ170*100</f>
        <v>92.870994973102412</v>
      </c>
      <c r="CD170" s="580">
        <f t="shared" si="276"/>
        <v>-50</v>
      </c>
      <c r="CE170">
        <f t="shared" si="277"/>
        <v>-50</v>
      </c>
    </row>
    <row r="171" spans="5:83" x14ac:dyDescent="0.2">
      <c r="E171" s="175">
        <v>61</v>
      </c>
      <c r="F171" s="222">
        <f t="shared" si="278"/>
        <v>0.24399999999999999</v>
      </c>
      <c r="G171" s="222"/>
      <c r="H171" s="222">
        <f t="shared" si="248"/>
        <v>2.9279999999999999</v>
      </c>
      <c r="I171" s="558">
        <f t="shared" si="249"/>
        <v>21.6</v>
      </c>
      <c r="J171" s="453">
        <f t="shared" si="250"/>
        <v>24.5</v>
      </c>
      <c r="K171" s="453">
        <f t="shared" si="251"/>
        <v>46.1</v>
      </c>
      <c r="L171" s="453"/>
      <c r="M171" s="222">
        <f t="shared" si="252"/>
        <v>0.53145336225596529</v>
      </c>
      <c r="N171" s="177">
        <f t="shared" si="253"/>
        <v>7.9064316702819957</v>
      </c>
      <c r="O171" s="177">
        <f t="shared" si="244"/>
        <v>2.9279999999999999</v>
      </c>
      <c r="P171" s="222">
        <f t="shared" si="254"/>
        <v>0.65886930585683301</v>
      </c>
      <c r="Q171" s="222">
        <f t="shared" si="255"/>
        <v>12</v>
      </c>
      <c r="R171" s="222"/>
      <c r="S171" s="177">
        <f t="shared" si="256"/>
        <v>50.224803511280683</v>
      </c>
      <c r="T171" s="177">
        <f t="shared" si="257"/>
        <v>12</v>
      </c>
      <c r="U171" s="222">
        <f t="shared" si="258"/>
        <v>0.5369805466046067</v>
      </c>
      <c r="V171" s="222">
        <f t="shared" si="259"/>
        <v>2.0882576812401368</v>
      </c>
      <c r="W171" s="222">
        <f t="shared" si="260"/>
        <v>1.8410761597872229</v>
      </c>
      <c r="X171" s="202">
        <f t="shared" si="261"/>
        <v>350</v>
      </c>
      <c r="Y171" s="453">
        <f t="shared" si="279"/>
        <v>254.49606484404518</v>
      </c>
      <c r="AA171" s="222">
        <f t="shared" si="262"/>
        <v>0.39045553145336231</v>
      </c>
      <c r="AB171" s="178">
        <f t="shared" si="263"/>
        <v>1.3387046792686708</v>
      </c>
      <c r="AC171" s="178">
        <f t="shared" si="264"/>
        <v>0.18294662645103313</v>
      </c>
      <c r="AD171" s="178"/>
      <c r="AE171" s="178">
        <f t="shared" si="265"/>
        <v>0.99428571428571422</v>
      </c>
      <c r="AF171" s="562">
        <f t="shared" si="266"/>
        <v>846.2148236226717</v>
      </c>
      <c r="AG171" s="545">
        <f t="shared" si="267"/>
        <v>0.10091999999999998</v>
      </c>
      <c r="AI171" s="178">
        <f t="shared" si="268"/>
        <v>0.45092497528228942</v>
      </c>
      <c r="AJ171" s="178">
        <f t="shared" si="269"/>
        <v>0.5369805466046067</v>
      </c>
      <c r="AK171" s="178">
        <f t="shared" si="270"/>
        <v>1.3829485530404493</v>
      </c>
      <c r="AM171" s="562">
        <f t="shared" si="271"/>
        <v>244</v>
      </c>
      <c r="AN171" s="471">
        <f t="shared" si="272"/>
        <v>254.49606484404518</v>
      </c>
      <c r="AP171">
        <f t="shared" si="273"/>
        <v>244</v>
      </c>
      <c r="AQ171">
        <f t="shared" si="274"/>
        <v>254.49606484404518</v>
      </c>
      <c r="AS171" s="5">
        <f t="shared" si="245"/>
        <v>3.9293338410273599</v>
      </c>
      <c r="AT171" s="5">
        <f t="shared" si="275"/>
        <v>2.0882576812401368</v>
      </c>
      <c r="AU171" s="5">
        <f t="shared" si="280"/>
        <v>1.8410761597872232</v>
      </c>
      <c r="AV171" s="5"/>
      <c r="AW171" s="178">
        <f t="shared" si="281"/>
        <v>0.53145336225596518</v>
      </c>
      <c r="AX171" s="178">
        <f t="shared" si="241"/>
        <v>3.0821052631578949</v>
      </c>
      <c r="AY171" s="178">
        <f t="shared" si="242"/>
        <v>0.25160042964554247</v>
      </c>
      <c r="AZ171" s="178">
        <f t="shared" si="246"/>
        <v>12.249999999999998</v>
      </c>
      <c r="BD171" s="178">
        <f t="shared" si="247"/>
        <v>0.22601148289026152</v>
      </c>
      <c r="BE171" s="178">
        <f t="shared" si="243"/>
        <v>0.4244282997743628</v>
      </c>
      <c r="BG171" s="545">
        <f t="shared" si="282"/>
        <v>1.7878416639389241E-2</v>
      </c>
      <c r="BH171" s="545">
        <f t="shared" si="283"/>
        <v>4.725E-2</v>
      </c>
      <c r="BI171" s="545">
        <f t="shared" si="284"/>
        <v>3.1812008105505645E-3</v>
      </c>
      <c r="BJ171" s="545">
        <f t="shared" si="285"/>
        <v>2.7042879098360662E-2</v>
      </c>
      <c r="BK171">
        <f t="shared" si="286"/>
        <v>6.2640000000000005E-3</v>
      </c>
      <c r="BM171" s="471">
        <f t="shared" si="287"/>
        <v>101.61649654830047</v>
      </c>
      <c r="BN171" s="545">
        <f t="shared" si="288"/>
        <v>7.3200000000000001E-2</v>
      </c>
      <c r="BQ171" s="471">
        <f t="shared" si="289"/>
        <v>73.2</v>
      </c>
      <c r="BR171" s="545">
        <f t="shared" si="290"/>
        <v>4.8527130878342232E-3</v>
      </c>
      <c r="BS171" s="545">
        <f t="shared" si="291"/>
        <v>1.6212544348442076E-2</v>
      </c>
      <c r="BT171" s="545">
        <f t="shared" si="292"/>
        <v>1.0916139186003955E-2</v>
      </c>
      <c r="BU171" s="545"/>
      <c r="BV171" s="545">
        <f t="shared" si="293"/>
        <v>1.6511278195488723E-2</v>
      </c>
      <c r="BW171" s="471">
        <f t="shared" si="294"/>
        <v>48.492674817768979</v>
      </c>
      <c r="BX171" s="178">
        <f t="shared" si="295"/>
        <v>0.22330917136606945</v>
      </c>
      <c r="BY171" s="5">
        <f t="shared" si="296"/>
        <v>2.9279999999999999</v>
      </c>
      <c r="BZ171" s="178">
        <f t="shared" si="297"/>
        <v>0.92913765066432175</v>
      </c>
      <c r="CA171" s="5">
        <f t="shared" si="298"/>
        <v>92.913765066432177</v>
      </c>
      <c r="CD171" s="580">
        <f t="shared" si="276"/>
        <v>-50</v>
      </c>
      <c r="CE171">
        <f t="shared" si="277"/>
        <v>-50</v>
      </c>
    </row>
    <row r="172" spans="5:83" x14ac:dyDescent="0.2">
      <c r="E172" s="175">
        <v>62</v>
      </c>
      <c r="F172" s="222">
        <f t="shared" si="278"/>
        <v>0.248</v>
      </c>
      <c r="G172" s="222"/>
      <c r="H172" s="222">
        <f t="shared" si="248"/>
        <v>2.976</v>
      </c>
      <c r="I172" s="558">
        <f t="shared" si="249"/>
        <v>21.6</v>
      </c>
      <c r="J172" s="453">
        <f t="shared" si="250"/>
        <v>24.5</v>
      </c>
      <c r="K172" s="453">
        <f t="shared" si="251"/>
        <v>46.1</v>
      </c>
      <c r="L172" s="453"/>
      <c r="M172" s="222">
        <f t="shared" si="252"/>
        <v>0.53145336225596529</v>
      </c>
      <c r="N172" s="177">
        <f t="shared" si="253"/>
        <v>7.9064316702819957</v>
      </c>
      <c r="O172" s="177">
        <f t="shared" si="244"/>
        <v>2.976</v>
      </c>
      <c r="P172" s="222">
        <f t="shared" si="254"/>
        <v>0.65886930585683301</v>
      </c>
      <c r="Q172" s="222">
        <f t="shared" si="255"/>
        <v>12</v>
      </c>
      <c r="R172" s="222"/>
      <c r="S172" s="177">
        <f t="shared" si="256"/>
        <v>49.242456993471613</v>
      </c>
      <c r="T172" s="177">
        <f t="shared" si="257"/>
        <v>12</v>
      </c>
      <c r="U172" s="222">
        <f t="shared" si="258"/>
        <v>0.54578350638501016</v>
      </c>
      <c r="V172" s="222">
        <f t="shared" si="259"/>
        <v>2.1224914137194837</v>
      </c>
      <c r="W172" s="222">
        <f t="shared" si="260"/>
        <v>1.8712577361771776</v>
      </c>
      <c r="X172" s="202">
        <f t="shared" si="261"/>
        <v>350</v>
      </c>
      <c r="Y172" s="453">
        <f t="shared" si="279"/>
        <v>250.39128960462503</v>
      </c>
      <c r="AA172" s="222">
        <f t="shared" si="262"/>
        <v>0.39045553145336231</v>
      </c>
      <c r="AB172" s="178">
        <f t="shared" si="263"/>
        <v>1.3387046792686708</v>
      </c>
      <c r="AC172" s="178">
        <f t="shared" si="264"/>
        <v>0.18294662645103313</v>
      </c>
      <c r="AD172" s="178"/>
      <c r="AE172" s="178">
        <f t="shared" si="265"/>
        <v>0.99428571428571422</v>
      </c>
      <c r="AF172" s="562">
        <f t="shared" si="266"/>
        <v>860.0871977804203</v>
      </c>
      <c r="AG172" s="545">
        <f t="shared" si="267"/>
        <v>0.10091999999999998</v>
      </c>
      <c r="AI172" s="178">
        <f t="shared" si="268"/>
        <v>0.45460605656619518</v>
      </c>
      <c r="AJ172" s="178">
        <f t="shared" si="269"/>
        <v>0.54578350638501016</v>
      </c>
      <c r="AK172" s="178">
        <f t="shared" si="270"/>
        <v>1.3894692639888964</v>
      </c>
      <c r="AM172" s="562">
        <f t="shared" si="271"/>
        <v>248</v>
      </c>
      <c r="AN172" s="471">
        <f t="shared" si="272"/>
        <v>250.39128960462503</v>
      </c>
      <c r="AP172">
        <f t="shared" si="273"/>
        <v>248</v>
      </c>
      <c r="AQ172">
        <f t="shared" si="274"/>
        <v>250.39128960462503</v>
      </c>
      <c r="AS172" s="5">
        <f t="shared" si="245"/>
        <v>3.9937491498966615</v>
      </c>
      <c r="AT172" s="5">
        <f t="shared" si="275"/>
        <v>2.1224914137194837</v>
      </c>
      <c r="AU172" s="5">
        <f t="shared" si="280"/>
        <v>1.8712577361771778</v>
      </c>
      <c r="AV172" s="5"/>
      <c r="AW172" s="178">
        <f t="shared" si="281"/>
        <v>0.53145336225596529</v>
      </c>
      <c r="AX172" s="178">
        <f t="shared" si="241"/>
        <v>3.1326315789473691</v>
      </c>
      <c r="AY172" s="178">
        <f t="shared" si="242"/>
        <v>0.25572502685284643</v>
      </c>
      <c r="AZ172" s="178">
        <f t="shared" si="246"/>
        <v>12.250000000000002</v>
      </c>
      <c r="BD172" s="178">
        <f t="shared" si="247"/>
        <v>0.2297165891671511</v>
      </c>
      <c r="BE172" s="178">
        <f t="shared" si="243"/>
        <v>0.4313861407542704</v>
      </c>
      <c r="BG172" s="545">
        <f t="shared" si="282"/>
        <v>1.8469398968506388E-2</v>
      </c>
      <c r="BH172" s="545">
        <f t="shared" si="283"/>
        <v>4.7249999999999993E-2</v>
      </c>
      <c r="BI172" s="545">
        <f t="shared" si="284"/>
        <v>3.1298911200578127E-3</v>
      </c>
      <c r="BJ172" s="545">
        <f t="shared" si="285"/>
        <v>2.6606703629032259E-2</v>
      </c>
      <c r="BK172">
        <f t="shared" si="286"/>
        <v>6.2640000000000005E-3</v>
      </c>
      <c r="BM172" s="471">
        <f t="shared" si="287"/>
        <v>101.71999371759645</v>
      </c>
      <c r="BN172" s="545">
        <f t="shared" si="288"/>
        <v>7.4399999999999994E-2</v>
      </c>
      <c r="BQ172" s="471">
        <f t="shared" si="289"/>
        <v>74.399999999999991</v>
      </c>
      <c r="BR172" s="545">
        <f t="shared" si="290"/>
        <v>5.0131225771660199E-3</v>
      </c>
      <c r="BS172" s="545">
        <f t="shared" si="291"/>
        <v>1.6748460219137687E-2</v>
      </c>
      <c r="BT172" s="545">
        <f t="shared" si="292"/>
        <v>1.0916139186003948E-2</v>
      </c>
      <c r="BU172" s="545"/>
      <c r="BV172" s="545">
        <f t="shared" si="293"/>
        <v>1.6781954887218051E-2</v>
      </c>
      <c r="BW172" s="471">
        <f t="shared" si="294"/>
        <v>49.459676869525701</v>
      </c>
      <c r="BX172" s="178">
        <f t="shared" si="295"/>
        <v>0.22557967058712214</v>
      </c>
      <c r="BY172" s="5">
        <f t="shared" si="296"/>
        <v>2.976</v>
      </c>
      <c r="BZ172" s="178">
        <f t="shared" si="297"/>
        <v>0.92954113475309708</v>
      </c>
      <c r="CA172" s="5">
        <f t="shared" si="298"/>
        <v>92.954113475309711</v>
      </c>
      <c r="CD172" s="580">
        <f t="shared" si="276"/>
        <v>-50</v>
      </c>
      <c r="CE172">
        <f t="shared" si="277"/>
        <v>-50</v>
      </c>
    </row>
    <row r="173" spans="5:83" x14ac:dyDescent="0.2">
      <c r="E173" s="175">
        <v>63</v>
      </c>
      <c r="F173" s="222">
        <f t="shared" si="278"/>
        <v>0.252</v>
      </c>
      <c r="G173" s="222"/>
      <c r="H173" s="222">
        <f t="shared" si="248"/>
        <v>3.024</v>
      </c>
      <c r="I173" s="558">
        <f t="shared" si="249"/>
        <v>21.6</v>
      </c>
      <c r="J173" s="453">
        <f t="shared" si="250"/>
        <v>24.5</v>
      </c>
      <c r="K173" s="453">
        <f t="shared" si="251"/>
        <v>46.1</v>
      </c>
      <c r="L173" s="453"/>
      <c r="M173" s="222">
        <f t="shared" si="252"/>
        <v>0.53145336225596529</v>
      </c>
      <c r="N173" s="177">
        <f t="shared" si="253"/>
        <v>7.9064316702819957</v>
      </c>
      <c r="O173" s="177">
        <f t="shared" si="244"/>
        <v>3.024</v>
      </c>
      <c r="P173" s="222">
        <f t="shared" si="254"/>
        <v>0.65886930585683301</v>
      </c>
      <c r="Q173" s="222">
        <f t="shared" si="255"/>
        <v>12</v>
      </c>
      <c r="R173" s="222"/>
      <c r="S173" s="177">
        <f t="shared" si="256"/>
        <v>48.291336981089394</v>
      </c>
      <c r="T173" s="177">
        <f t="shared" si="257"/>
        <v>12</v>
      </c>
      <c r="U173" s="222">
        <f t="shared" si="258"/>
        <v>0.55458646616541352</v>
      </c>
      <c r="V173" s="222">
        <f t="shared" si="259"/>
        <v>2.1567251461988306</v>
      </c>
      <c r="W173" s="222">
        <f t="shared" si="260"/>
        <v>1.9014393125671321</v>
      </c>
      <c r="X173" s="202">
        <f t="shared" si="261"/>
        <v>350</v>
      </c>
      <c r="Y173" s="453">
        <f t="shared" si="279"/>
        <v>246.41682469026591</v>
      </c>
      <c r="AA173" s="222">
        <f t="shared" si="262"/>
        <v>0.39045553145336231</v>
      </c>
      <c r="AB173" s="178">
        <f t="shared" si="263"/>
        <v>1.3387046792686708</v>
      </c>
      <c r="AC173" s="178">
        <f t="shared" si="264"/>
        <v>0.18294662645103313</v>
      </c>
      <c r="AD173" s="178"/>
      <c r="AE173" s="178">
        <f t="shared" si="265"/>
        <v>0.99428571428571422</v>
      </c>
      <c r="AF173" s="562">
        <f t="shared" si="266"/>
        <v>873.95957193816912</v>
      </c>
      <c r="AG173" s="545">
        <f t="shared" si="267"/>
        <v>0.10091999999999998</v>
      </c>
      <c r="AI173" s="178">
        <f t="shared" si="268"/>
        <v>0.45825756949558405</v>
      </c>
      <c r="AJ173" s="178">
        <f t="shared" si="269"/>
        <v>0.55458646616541352</v>
      </c>
      <c r="AK173" s="178">
        <f t="shared" si="270"/>
        <v>1.3959899749373432</v>
      </c>
      <c r="AM173" s="562">
        <f t="shared" si="271"/>
        <v>252</v>
      </c>
      <c r="AN173" s="471">
        <f t="shared" si="272"/>
        <v>246.41682469026591</v>
      </c>
      <c r="AP173">
        <f t="shared" si="273"/>
        <v>252</v>
      </c>
      <c r="AQ173">
        <f t="shared" si="274"/>
        <v>246.41682469026591</v>
      </c>
      <c r="AS173" s="5">
        <f t="shared" si="245"/>
        <v>4.0581644587659627</v>
      </c>
      <c r="AT173" s="5">
        <f t="shared" si="275"/>
        <v>2.1567251461988306</v>
      </c>
      <c r="AU173" s="5">
        <f t="shared" si="280"/>
        <v>1.9014393125671321</v>
      </c>
      <c r="AV173" s="5"/>
      <c r="AW173" s="178">
        <f t="shared" si="281"/>
        <v>0.53145336225596529</v>
      </c>
      <c r="AX173" s="178">
        <f t="shared" si="241"/>
        <v>3.1831578947368415</v>
      </c>
      <c r="AY173" s="178">
        <f t="shared" si="242"/>
        <v>0.25984962406015039</v>
      </c>
      <c r="AZ173" s="178">
        <f t="shared" si="246"/>
        <v>12.249999999999996</v>
      </c>
      <c r="BD173" s="178">
        <f t="shared" si="247"/>
        <v>0.23342169544404062</v>
      </c>
      <c r="BE173" s="178">
        <f t="shared" si="243"/>
        <v>0.43834398173417793</v>
      </c>
      <c r="BG173" s="545">
        <f t="shared" si="282"/>
        <v>1.9069990766389659E-2</v>
      </c>
      <c r="BH173" s="545">
        <f t="shared" si="283"/>
        <v>4.725E-2</v>
      </c>
      <c r="BI173" s="545">
        <f t="shared" si="284"/>
        <v>3.0802103086283237E-3</v>
      </c>
      <c r="BJ173" s="545">
        <f t="shared" si="285"/>
        <v>2.6184375000000003E-2</v>
      </c>
      <c r="BK173">
        <f t="shared" si="286"/>
        <v>6.2640000000000005E-3</v>
      </c>
      <c r="BM173" s="471">
        <f t="shared" si="287"/>
        <v>101.84857607501797</v>
      </c>
      <c r="BN173" s="545">
        <f t="shared" si="288"/>
        <v>7.5600000000000001E-2</v>
      </c>
      <c r="BQ173" s="471">
        <f t="shared" si="289"/>
        <v>75.599999999999994</v>
      </c>
      <c r="BR173" s="545">
        <f t="shared" si="290"/>
        <v>5.1761403508771928E-3</v>
      </c>
      <c r="BS173" s="545">
        <f t="shared" si="291"/>
        <v>1.7293090169031598E-2</v>
      </c>
      <c r="BT173" s="545">
        <f t="shared" si="292"/>
        <v>1.0916139186003952E-2</v>
      </c>
      <c r="BU173" s="545"/>
      <c r="BV173" s="545">
        <f t="shared" si="293"/>
        <v>1.7052631578947371E-2</v>
      </c>
      <c r="BW173" s="471">
        <f t="shared" si="294"/>
        <v>50.438001284860121</v>
      </c>
      <c r="BX173" s="178">
        <f t="shared" si="295"/>
        <v>0.22788657735987808</v>
      </c>
      <c r="BY173" s="5">
        <f t="shared" si="296"/>
        <v>3.024</v>
      </c>
      <c r="BZ173" s="178">
        <f t="shared" si="297"/>
        <v>0.92992173252706334</v>
      </c>
      <c r="CA173" s="5">
        <f t="shared" si="298"/>
        <v>92.992173252706337</v>
      </c>
      <c r="CD173" s="580">
        <f t="shared" si="276"/>
        <v>-50</v>
      </c>
      <c r="CE173">
        <f t="shared" si="277"/>
        <v>-50</v>
      </c>
    </row>
    <row r="174" spans="5:83" x14ac:dyDescent="0.2">
      <c r="E174" s="175">
        <v>64</v>
      </c>
      <c r="F174" s="222">
        <f t="shared" si="278"/>
        <v>0.25600000000000001</v>
      </c>
      <c r="G174" s="222"/>
      <c r="H174" s="222">
        <f t="shared" ref="H174:H205" si="299">F174*Vout</f>
        <v>3.0720000000000001</v>
      </c>
      <c r="I174" s="558">
        <f t="shared" ref="I174:I210" si="300">VIN_min</f>
        <v>21.6</v>
      </c>
      <c r="J174" s="453">
        <f t="shared" ref="J174:J210" si="301">(T174+Vfwd1)*Nps</f>
        <v>24.5</v>
      </c>
      <c r="K174" s="453">
        <f t="shared" ref="K174:K210" si="302">(Vout+Vfwd1)*Nps+I174</f>
        <v>46.1</v>
      </c>
      <c r="L174" s="453"/>
      <c r="M174" s="222">
        <f t="shared" ref="M174:M210" si="303">(Vout+Vfwd1)*Nps/((Vout+Vfwd1)*Nps+I174)</f>
        <v>0.53145336225596529</v>
      </c>
      <c r="N174" s="177">
        <f t="shared" ref="N174:N205" si="304">M174*I174*Isw_max*0.5*Efficiency</f>
        <v>7.9064316702819957</v>
      </c>
      <c r="O174" s="177">
        <f t="shared" si="244"/>
        <v>3.0720000000000001</v>
      </c>
      <c r="P174" s="222">
        <f t="shared" ref="P174:P205" si="305">N174/Vout</f>
        <v>0.65886930585683301</v>
      </c>
      <c r="Q174" s="222">
        <f t="shared" ref="Q174:Q210" si="306">MIN(Vout,N174/F174)</f>
        <v>12</v>
      </c>
      <c r="R174" s="222"/>
      <c r="S174" s="177">
        <f t="shared" ref="S174:S210" si="307">(SQRT(Isw_max^2*Nps^2*I174^2+4*Isw_max*F174/Efficiency*(Nps^2*Vfwd1*I174-Nps*I174^2)+4*(F174/Efficiency)^2*Nps^2*Vfwd1^2+8*(F174/Efficiency)^2*Nps*Vfwd1*I174+4*(F174/Efficiency)^2*I174^2)-2*F174/Efficiency*I174-2*F174/Efficiency*Nps*Vfwd1+Isw_max*Nps*I174)/(4*F174/Efficiency*Nps)</f>
        <v>47.369980139669444</v>
      </c>
      <c r="T174" s="177">
        <f t="shared" ref="T174:T205" si="308">MIN(Vout, S174)</f>
        <v>12</v>
      </c>
      <c r="U174" s="222">
        <f t="shared" ref="U174:U210" si="309">MIN(2*Vout*F174/(Efficiency*I174*M174), Isw_max)</f>
        <v>0.56338942594581687</v>
      </c>
      <c r="V174" s="222">
        <f t="shared" ref="V174:V205" si="310">L*U174/I174*1000000</f>
        <v>2.1909588786781766</v>
      </c>
      <c r="W174" s="222">
        <f t="shared" ref="W174:W210" si="311">L*U174/J174*1000000</f>
        <v>1.9316208889570865</v>
      </c>
      <c r="X174" s="202">
        <f t="shared" ref="X174:X210" si="312">IF(1/((350000*L)*(1/I174+1/J174))&gt;Isw_min, 350, 0.001/((Isw_min*L)*(1/I174+1/J174)))</f>
        <v>350</v>
      </c>
      <c r="Y174" s="453">
        <f t="shared" si="279"/>
        <v>242.56656180448053</v>
      </c>
      <c r="AA174" s="222">
        <f t="shared" ref="AA174:AA210" si="313">1/((X174*1000*L)*(1/I174+1/J174))</f>
        <v>0.39045553145336231</v>
      </c>
      <c r="AB174" s="178">
        <f t="shared" ref="AB174:AB205" si="314">L*AA174/J174*1000000</f>
        <v>1.3387046792686708</v>
      </c>
      <c r="AC174" s="178">
        <f t="shared" ref="AC174:AC205" si="315">0.5*AB174*AA174*Nps*X174/1000</f>
        <v>0.18294662645103313</v>
      </c>
      <c r="AD174" s="178"/>
      <c r="AE174" s="178">
        <f t="shared" ref="AE174:AE210" si="316">L*Isw_min/J174*1000000</f>
        <v>0.99428571428571422</v>
      </c>
      <c r="AF174" s="562">
        <f t="shared" ref="AF174:AF205" si="317">MAX(10000,F174/(0.5*AE174/1000000*Isw_min*Nps))/1000</f>
        <v>887.83194609591783</v>
      </c>
      <c r="AG174" s="545">
        <f t="shared" ref="AG174:AG210" si="318">0.5*AE174/1000000*Isw_min*Nps*X174*1000</f>
        <v>0.10091999999999998</v>
      </c>
      <c r="AI174" s="178">
        <f t="shared" ref="AI174:AI210" si="319">SQRT(F174/(0.5*L/J174*Fsw_DCM*Nps))</f>
        <v>0.46188021535170065</v>
      </c>
      <c r="AJ174" s="178">
        <f t="shared" ref="AJ174:AJ205" si="320">MAX(IF(F174&gt;AC174,U174,AI174),Isw_min)</f>
        <v>0.56338942594581687</v>
      </c>
      <c r="AK174" s="178">
        <f t="shared" ref="AK174:AK205" si="321">IF(F174&gt;AG174, (AJ174-Isw_min)/1.08*0.8+1.2, AF174*0.2/350+1)</f>
        <v>1.4025106858857903</v>
      </c>
      <c r="AM174" s="562">
        <f t="shared" ref="AM174:AM210" si="322">F174*1000</f>
        <v>256</v>
      </c>
      <c r="AN174" s="471">
        <f t="shared" ref="AN174:AN210" si="323">IF(F174&gt;AG174, Y174, AF174)</f>
        <v>242.56656180448053</v>
      </c>
      <c r="AP174">
        <f t="shared" ref="AP174:AP210" si="324">IF(H174&gt;N174, "",AM174)</f>
        <v>256</v>
      </c>
      <c r="AQ174">
        <f t="shared" ref="AQ174:AQ210" si="325">IF(H174&gt;N174, "",AN174)</f>
        <v>242.56656180448053</v>
      </c>
      <c r="AS174" s="5">
        <f t="shared" si="245"/>
        <v>4.1225797676352629</v>
      </c>
      <c r="AT174" s="5">
        <f t="shared" ref="AT174:AT210" si="326">L*AJ174/I174*1000000</f>
        <v>2.1909588786781766</v>
      </c>
      <c r="AU174" s="5">
        <f t="shared" si="280"/>
        <v>1.9316208889570863</v>
      </c>
      <c r="AV174" s="5"/>
      <c r="AW174" s="178">
        <f t="shared" si="281"/>
        <v>0.53145336225596529</v>
      </c>
      <c r="AX174" s="178">
        <f t="shared" si="241"/>
        <v>3.2336842105263153</v>
      </c>
      <c r="AY174" s="178">
        <f t="shared" si="242"/>
        <v>0.26397422126745435</v>
      </c>
      <c r="AZ174" s="178">
        <f t="shared" si="246"/>
        <v>12.249999999999998</v>
      </c>
      <c r="BD174" s="178">
        <f t="shared" si="247"/>
        <v>0.23712680172093015</v>
      </c>
      <c r="BE174" s="178">
        <f t="shared" si="243"/>
        <v>0.44530182271408553</v>
      </c>
      <c r="BG174" s="545">
        <f t="shared" si="282"/>
        <v>1.9680192033039064E-2</v>
      </c>
      <c r="BH174" s="545">
        <f t="shared" si="283"/>
        <v>4.7249999999999993E-2</v>
      </c>
      <c r="BI174" s="545">
        <f t="shared" si="284"/>
        <v>3.0320820225560063E-3</v>
      </c>
      <c r="BJ174" s="545">
        <f t="shared" si="285"/>
        <v>2.5775244140625004E-2</v>
      </c>
      <c r="BK174">
        <f t="shared" si="286"/>
        <v>6.2640000000000005E-3</v>
      </c>
      <c r="BM174" s="471">
        <f t="shared" si="287"/>
        <v>102.00151819622006</v>
      </c>
      <c r="BN174" s="545">
        <f t="shared" si="288"/>
        <v>7.6799999999999993E-2</v>
      </c>
      <c r="BQ174" s="471">
        <f t="shared" si="289"/>
        <v>76.8</v>
      </c>
      <c r="BR174" s="545">
        <f t="shared" si="290"/>
        <v>5.3417664089677455E-3</v>
      </c>
      <c r="BS174" s="545">
        <f t="shared" si="291"/>
        <v>1.7846434198123817E-2</v>
      </c>
      <c r="BT174" s="545">
        <f t="shared" si="292"/>
        <v>1.0916139186003938E-2</v>
      </c>
      <c r="BU174" s="545"/>
      <c r="BV174" s="545">
        <f t="shared" si="293"/>
        <v>1.7323308270676688E-2</v>
      </c>
      <c r="BW174" s="471">
        <f t="shared" si="294"/>
        <v>51.427648063772189</v>
      </c>
      <c r="BX174" s="178">
        <f t="shared" si="295"/>
        <v>0.23022916625999224</v>
      </c>
      <c r="BY174" s="5">
        <f t="shared" si="296"/>
        <v>3.0720000000000001</v>
      </c>
      <c r="BZ174" s="178">
        <f t="shared" si="297"/>
        <v>0.93028068172484135</v>
      </c>
      <c r="CA174" s="5">
        <f t="shared" si="298"/>
        <v>93.02806817248414</v>
      </c>
      <c r="CD174" s="580">
        <f t="shared" ref="CD174:CD210" si="327">IF(ABS(F174-Ioutmax_Vinmin)&lt;Iout/200, AN174, -50)</f>
        <v>-50</v>
      </c>
      <c r="CE174">
        <f t="shared" ref="CE174:CE210" si="328">IF(ABS(F174-Ioutmax_Vinmin)&lt;Iout/200, N174*BZ174, -50)</f>
        <v>-50</v>
      </c>
    </row>
    <row r="175" spans="5:83" x14ac:dyDescent="0.2">
      <c r="E175" s="175">
        <v>65</v>
      </c>
      <c r="F175" s="222">
        <f t="shared" ref="F175:F206" si="329">IF(PLOT_TYPE=1, E175/100*Iout_max, min_I*EXP(N175*rr/100))</f>
        <v>0.26</v>
      </c>
      <c r="G175" s="222"/>
      <c r="H175" s="222">
        <f t="shared" si="299"/>
        <v>3.12</v>
      </c>
      <c r="I175" s="558">
        <f t="shared" si="300"/>
        <v>21.6</v>
      </c>
      <c r="J175" s="453">
        <f t="shared" si="301"/>
        <v>24.5</v>
      </c>
      <c r="K175" s="453">
        <f t="shared" si="302"/>
        <v>46.1</v>
      </c>
      <c r="L175" s="453"/>
      <c r="M175" s="222">
        <f t="shared" si="303"/>
        <v>0.53145336225596529</v>
      </c>
      <c r="N175" s="177">
        <f t="shared" si="304"/>
        <v>7.9064316702819957</v>
      </c>
      <c r="O175" s="177">
        <f t="shared" si="244"/>
        <v>3.12</v>
      </c>
      <c r="P175" s="222">
        <f t="shared" si="305"/>
        <v>0.65886930585683301</v>
      </c>
      <c r="Q175" s="222">
        <f t="shared" si="306"/>
        <v>12</v>
      </c>
      <c r="R175" s="222"/>
      <c r="S175" s="177">
        <f t="shared" si="307"/>
        <v>46.477013191337313</v>
      </c>
      <c r="T175" s="177">
        <f t="shared" si="308"/>
        <v>12</v>
      </c>
      <c r="U175" s="222">
        <f t="shared" si="309"/>
        <v>0.57219238572622033</v>
      </c>
      <c r="V175" s="222">
        <f t="shared" si="310"/>
        <v>2.2251926111575231</v>
      </c>
      <c r="W175" s="222">
        <f t="shared" si="311"/>
        <v>1.9618024653470407</v>
      </c>
      <c r="X175" s="202">
        <f t="shared" si="312"/>
        <v>350</v>
      </c>
      <c r="Y175" s="453">
        <f t="shared" si="279"/>
        <v>238.83476854595006</v>
      </c>
      <c r="AA175" s="222">
        <f t="shared" si="313"/>
        <v>0.39045553145336231</v>
      </c>
      <c r="AB175" s="178">
        <f t="shared" si="314"/>
        <v>1.3387046792686708</v>
      </c>
      <c r="AC175" s="178">
        <f t="shared" si="315"/>
        <v>0.18294662645103313</v>
      </c>
      <c r="AD175" s="178"/>
      <c r="AE175" s="178">
        <f t="shared" si="316"/>
        <v>0.99428571428571422</v>
      </c>
      <c r="AF175" s="562">
        <f t="shared" si="317"/>
        <v>901.70432025366654</v>
      </c>
      <c r="AG175" s="545">
        <f t="shared" si="318"/>
        <v>0.10091999999999998</v>
      </c>
      <c r="AI175" s="178">
        <f t="shared" si="319"/>
        <v>0.46547466812563137</v>
      </c>
      <c r="AJ175" s="178">
        <f t="shared" si="320"/>
        <v>0.57219238572622033</v>
      </c>
      <c r="AK175" s="178">
        <f t="shared" si="321"/>
        <v>1.4090313968342372</v>
      </c>
      <c r="AM175" s="562">
        <f t="shared" si="322"/>
        <v>260</v>
      </c>
      <c r="AN175" s="471">
        <f t="shared" si="323"/>
        <v>238.83476854595006</v>
      </c>
      <c r="AP175">
        <f t="shared" si="324"/>
        <v>260</v>
      </c>
      <c r="AQ175">
        <f t="shared" si="325"/>
        <v>238.83476854595006</v>
      </c>
      <c r="AS175" s="5">
        <f t="shared" si="245"/>
        <v>4.186995076504564</v>
      </c>
      <c r="AT175" s="5">
        <f t="shared" si="326"/>
        <v>2.2251926111575231</v>
      </c>
      <c r="AU175" s="5">
        <f t="shared" si="280"/>
        <v>1.9618024653470409</v>
      </c>
      <c r="AV175" s="5"/>
      <c r="AW175" s="178">
        <f t="shared" si="281"/>
        <v>0.53145336225596529</v>
      </c>
      <c r="AX175" s="178">
        <f t="shared" si="241"/>
        <v>3.2842105263157895</v>
      </c>
      <c r="AY175" s="178">
        <f t="shared" si="242"/>
        <v>0.26809881847475836</v>
      </c>
      <c r="AZ175" s="178">
        <f t="shared" si="246"/>
        <v>12.249999999999998</v>
      </c>
      <c r="BD175" s="178">
        <f t="shared" si="247"/>
        <v>0.2408319079978197</v>
      </c>
      <c r="BE175" s="178">
        <f t="shared" si="243"/>
        <v>0.45225966369399312</v>
      </c>
      <c r="BG175" s="545">
        <f t="shared" si="282"/>
        <v>2.03000027684546E-2</v>
      </c>
      <c r="BH175" s="545">
        <f t="shared" si="283"/>
        <v>4.725E-2</v>
      </c>
      <c r="BI175" s="545">
        <f t="shared" si="284"/>
        <v>2.9854346068243754E-3</v>
      </c>
      <c r="BJ175" s="545">
        <f t="shared" si="285"/>
        <v>2.5378701923076927E-2</v>
      </c>
      <c r="BK175">
        <f t="shared" si="286"/>
        <v>6.2640000000000005E-3</v>
      </c>
      <c r="BM175" s="471">
        <f t="shared" si="287"/>
        <v>102.17813929835592</v>
      </c>
      <c r="BN175" s="545">
        <f t="shared" si="288"/>
        <v>7.8E-2</v>
      </c>
      <c r="BQ175" s="471">
        <f t="shared" si="289"/>
        <v>78</v>
      </c>
      <c r="BR175" s="545">
        <f t="shared" si="290"/>
        <v>5.5100007514376778E-3</v>
      </c>
      <c r="BS175" s="545">
        <f t="shared" si="291"/>
        <v>1.8408492306414337E-2</v>
      </c>
      <c r="BT175" s="545">
        <f t="shared" si="292"/>
        <v>1.0916139186003931E-2</v>
      </c>
      <c r="BU175" s="545"/>
      <c r="BV175" s="545">
        <f t="shared" si="293"/>
        <v>1.7593984962406019E-2</v>
      </c>
      <c r="BW175" s="471">
        <f t="shared" si="294"/>
        <v>52.428617206261961</v>
      </c>
      <c r="BX175" s="178">
        <f t="shared" si="295"/>
        <v>0.23260675650461787</v>
      </c>
      <c r="BY175" s="5">
        <f t="shared" si="296"/>
        <v>3.12</v>
      </c>
      <c r="BZ175" s="178">
        <f t="shared" si="297"/>
        <v>0.93061913507949545</v>
      </c>
      <c r="CA175" s="5">
        <f t="shared" si="298"/>
        <v>93.061913507949541</v>
      </c>
      <c r="CD175" s="580">
        <f t="shared" si="327"/>
        <v>-50</v>
      </c>
      <c r="CE175">
        <f t="shared" si="328"/>
        <v>-50</v>
      </c>
    </row>
    <row r="176" spans="5:83" x14ac:dyDescent="0.2">
      <c r="E176" s="175">
        <v>66</v>
      </c>
      <c r="F176" s="222">
        <f t="shared" si="329"/>
        <v>0.26400000000000001</v>
      </c>
      <c r="G176" s="222"/>
      <c r="H176" s="222">
        <f t="shared" si="299"/>
        <v>3.1680000000000001</v>
      </c>
      <c r="I176" s="558">
        <f t="shared" si="300"/>
        <v>21.6</v>
      </c>
      <c r="J176" s="453">
        <f t="shared" si="301"/>
        <v>24.5</v>
      </c>
      <c r="K176" s="453">
        <f t="shared" si="302"/>
        <v>46.1</v>
      </c>
      <c r="L176" s="453"/>
      <c r="M176" s="222">
        <f t="shared" si="303"/>
        <v>0.53145336225596529</v>
      </c>
      <c r="N176" s="177">
        <f t="shared" si="304"/>
        <v>7.9064316702819957</v>
      </c>
      <c r="O176" s="177">
        <f t="shared" si="244"/>
        <v>3.1680000000000001</v>
      </c>
      <c r="P176" s="222">
        <f t="shared" si="305"/>
        <v>0.65886930585683301</v>
      </c>
      <c r="Q176" s="222">
        <f t="shared" si="306"/>
        <v>12</v>
      </c>
      <c r="R176" s="222"/>
      <c r="S176" s="177">
        <f t="shared" si="307"/>
        <v>45.611146092420611</v>
      </c>
      <c r="T176" s="553">
        <f t="shared" si="308"/>
        <v>12</v>
      </c>
      <c r="U176" s="222">
        <f t="shared" si="309"/>
        <v>0.58099534550662368</v>
      </c>
      <c r="V176" s="222">
        <f t="shared" si="310"/>
        <v>2.2594263436368696</v>
      </c>
      <c r="W176" s="222">
        <f t="shared" si="311"/>
        <v>1.9919840417369954</v>
      </c>
      <c r="X176" s="202">
        <f t="shared" si="312"/>
        <v>350</v>
      </c>
      <c r="Y176" s="453">
        <f t="shared" si="279"/>
        <v>235.21605993161748</v>
      </c>
      <c r="AA176" s="222">
        <f t="shared" si="313"/>
        <v>0.39045553145336231</v>
      </c>
      <c r="AB176" s="178">
        <f t="shared" si="314"/>
        <v>1.3387046792686708</v>
      </c>
      <c r="AC176" s="178">
        <f t="shared" si="315"/>
        <v>0.18294662645103313</v>
      </c>
      <c r="AD176" s="178"/>
      <c r="AE176" s="178">
        <f t="shared" si="316"/>
        <v>0.99428571428571422</v>
      </c>
      <c r="AF176" s="562">
        <f t="shared" si="317"/>
        <v>915.57669441141525</v>
      </c>
      <c r="AG176" s="545">
        <f t="shared" si="318"/>
        <v>0.10091999999999998</v>
      </c>
      <c r="AI176" s="178">
        <f t="shared" si="319"/>
        <v>0.46904157598234297</v>
      </c>
      <c r="AJ176" s="178">
        <f t="shared" si="320"/>
        <v>0.58099534550662368</v>
      </c>
      <c r="AK176" s="178">
        <f t="shared" si="321"/>
        <v>1.4155521077826843</v>
      </c>
      <c r="AM176" s="562">
        <f t="shared" si="322"/>
        <v>264</v>
      </c>
      <c r="AN176" s="471">
        <f t="shared" si="323"/>
        <v>235.21605993161748</v>
      </c>
      <c r="AP176">
        <f t="shared" si="324"/>
        <v>264</v>
      </c>
      <c r="AQ176">
        <f t="shared" si="325"/>
        <v>235.21605993161748</v>
      </c>
      <c r="AS176" s="5">
        <f t="shared" si="245"/>
        <v>4.2514103853738652</v>
      </c>
      <c r="AT176" s="5">
        <f t="shared" si="326"/>
        <v>2.2594263436368696</v>
      </c>
      <c r="AU176" s="5">
        <f t="shared" si="280"/>
        <v>1.9919840417369956</v>
      </c>
      <c r="AV176" s="5"/>
      <c r="AW176" s="178">
        <f t="shared" si="281"/>
        <v>0.53145336225596529</v>
      </c>
      <c r="AX176" s="178">
        <f t="shared" si="241"/>
        <v>3.3347368421052632</v>
      </c>
      <c r="AY176" s="178">
        <f t="shared" si="242"/>
        <v>0.27222341568206232</v>
      </c>
      <c r="AZ176" s="178">
        <f t="shared" si="246"/>
        <v>12.25</v>
      </c>
      <c r="BD176" s="178">
        <f t="shared" si="247"/>
        <v>0.24453701427470922</v>
      </c>
      <c r="BE176" s="178">
        <f t="shared" si="243"/>
        <v>0.45921750467390071</v>
      </c>
      <c r="BG176" s="545">
        <f t="shared" si="282"/>
        <v>2.092942297263627E-2</v>
      </c>
      <c r="BH176" s="545">
        <f t="shared" si="283"/>
        <v>4.725E-2</v>
      </c>
      <c r="BI176" s="545">
        <f t="shared" si="284"/>
        <v>2.9402007491452181E-3</v>
      </c>
      <c r="BJ176" s="545">
        <f t="shared" si="285"/>
        <v>2.4994176136363639E-2</v>
      </c>
      <c r="BK176">
        <f t="shared" si="286"/>
        <v>6.2640000000000005E-3</v>
      </c>
      <c r="BM176" s="471">
        <f t="shared" si="287"/>
        <v>102.37779985814512</v>
      </c>
      <c r="BN176" s="545">
        <f t="shared" si="288"/>
        <v>7.9200000000000007E-2</v>
      </c>
      <c r="BQ176" s="471">
        <f t="shared" si="289"/>
        <v>79.2</v>
      </c>
      <c r="BR176" s="545">
        <f t="shared" si="290"/>
        <v>5.6808433782869873E-3</v>
      </c>
      <c r="BS176" s="545">
        <f t="shared" si="291"/>
        <v>1.8979264493903161E-2</v>
      </c>
      <c r="BT176" s="545">
        <f t="shared" si="292"/>
        <v>1.0916139186003935E-2</v>
      </c>
      <c r="BU176" s="545"/>
      <c r="BV176" s="545">
        <f t="shared" si="293"/>
        <v>1.786466165413534E-2</v>
      </c>
      <c r="BW176" s="471">
        <f t="shared" si="294"/>
        <v>53.440908712329417</v>
      </c>
      <c r="BX176" s="178">
        <f t="shared" si="295"/>
        <v>0.23501870857047455</v>
      </c>
      <c r="BY176" s="5">
        <f t="shared" si="296"/>
        <v>3.1680000000000001</v>
      </c>
      <c r="BZ176" s="178">
        <f t="shared" si="297"/>
        <v>0.93093816734577983</v>
      </c>
      <c r="CA176" s="5">
        <f t="shared" si="298"/>
        <v>93.093816734577985</v>
      </c>
      <c r="CD176" s="580">
        <f t="shared" si="327"/>
        <v>-50</v>
      </c>
      <c r="CE176">
        <f t="shared" si="328"/>
        <v>-50</v>
      </c>
    </row>
    <row r="177" spans="5:83" x14ac:dyDescent="0.2">
      <c r="E177" s="175">
        <v>67</v>
      </c>
      <c r="F177" s="222">
        <f t="shared" si="329"/>
        <v>0.26800000000000002</v>
      </c>
      <c r="G177" s="222"/>
      <c r="H177" s="222">
        <f t="shared" si="299"/>
        <v>3.2160000000000002</v>
      </c>
      <c r="I177" s="558">
        <f t="shared" si="300"/>
        <v>21.6</v>
      </c>
      <c r="J177" s="453">
        <f t="shared" si="301"/>
        <v>24.5</v>
      </c>
      <c r="K177" s="453">
        <f t="shared" si="302"/>
        <v>46.1</v>
      </c>
      <c r="L177" s="453"/>
      <c r="M177" s="222">
        <f t="shared" si="303"/>
        <v>0.53145336225596529</v>
      </c>
      <c r="N177" s="177">
        <f t="shared" si="304"/>
        <v>7.9064316702819957</v>
      </c>
      <c r="O177" s="177">
        <f t="shared" si="244"/>
        <v>3.2160000000000002</v>
      </c>
      <c r="P177" s="222">
        <f t="shared" si="305"/>
        <v>0.65886930585683301</v>
      </c>
      <c r="Q177" s="222">
        <f t="shared" si="306"/>
        <v>12</v>
      </c>
      <c r="R177" s="222"/>
      <c r="S177" s="177">
        <f t="shared" si="307"/>
        <v>44.771165822022319</v>
      </c>
      <c r="T177" s="553">
        <f t="shared" si="308"/>
        <v>12</v>
      </c>
      <c r="U177" s="222">
        <f t="shared" si="309"/>
        <v>0.58979830528702715</v>
      </c>
      <c r="V177" s="222">
        <f t="shared" si="310"/>
        <v>2.2936600761162165</v>
      </c>
      <c r="W177" s="222">
        <f t="shared" si="311"/>
        <v>2.0221656181269503</v>
      </c>
      <c r="X177" s="202">
        <f t="shared" si="312"/>
        <v>350</v>
      </c>
      <c r="Y177" s="453">
        <f t="shared" si="279"/>
        <v>231.70537246995156</v>
      </c>
      <c r="AA177" s="222">
        <f t="shared" si="313"/>
        <v>0.39045553145336231</v>
      </c>
      <c r="AB177" s="178">
        <f t="shared" si="314"/>
        <v>1.3387046792686708</v>
      </c>
      <c r="AC177" s="178">
        <f t="shared" si="315"/>
        <v>0.18294662645103313</v>
      </c>
      <c r="AD177" s="178"/>
      <c r="AE177" s="178">
        <f t="shared" si="316"/>
        <v>0.99428571428571422</v>
      </c>
      <c r="AF177" s="562">
        <f t="shared" si="317"/>
        <v>929.44906856916407</v>
      </c>
      <c r="AG177" s="545">
        <f t="shared" si="318"/>
        <v>0.10091999999999998</v>
      </c>
      <c r="AI177" s="178">
        <f t="shared" si="319"/>
        <v>0.47258156262526085</v>
      </c>
      <c r="AJ177" s="178">
        <f t="shared" si="320"/>
        <v>0.58979830528702715</v>
      </c>
      <c r="AK177" s="178">
        <f t="shared" si="321"/>
        <v>1.4220728187311311</v>
      </c>
      <c r="AM177" s="562">
        <f t="shared" si="322"/>
        <v>268</v>
      </c>
      <c r="AN177" s="471">
        <f t="shared" si="323"/>
        <v>231.70537246995156</v>
      </c>
      <c r="AP177">
        <f t="shared" si="324"/>
        <v>268</v>
      </c>
      <c r="AQ177">
        <f t="shared" si="325"/>
        <v>231.70537246995156</v>
      </c>
      <c r="AS177" s="5">
        <f t="shared" si="245"/>
        <v>4.3158256942431663</v>
      </c>
      <c r="AT177" s="5">
        <f t="shared" si="326"/>
        <v>2.2936600761162165</v>
      </c>
      <c r="AU177" s="5">
        <f t="shared" si="280"/>
        <v>2.0221656181269498</v>
      </c>
      <c r="AV177" s="5"/>
      <c r="AW177" s="178">
        <f t="shared" si="281"/>
        <v>0.53145336225596529</v>
      </c>
      <c r="AX177" s="178">
        <f t="shared" si="241"/>
        <v>3.3852631578947379</v>
      </c>
      <c r="AY177" s="178">
        <f t="shared" si="242"/>
        <v>0.27634801288936628</v>
      </c>
      <c r="AZ177" s="178">
        <f t="shared" si="246"/>
        <v>12.250000000000004</v>
      </c>
      <c r="BD177" s="178">
        <f t="shared" si="247"/>
        <v>0.24824212055159878</v>
      </c>
      <c r="BE177" s="178">
        <f t="shared" si="243"/>
        <v>0.46617534565380836</v>
      </c>
      <c r="BG177" s="545">
        <f t="shared" si="282"/>
        <v>2.1568452645584074E-2</v>
      </c>
      <c r="BH177" s="545">
        <f t="shared" si="283"/>
        <v>4.7250000000000007E-2</v>
      </c>
      <c r="BI177" s="545">
        <f t="shared" si="284"/>
        <v>2.8963171558743944E-3</v>
      </c>
      <c r="BJ177" s="545">
        <f t="shared" si="285"/>
        <v>2.4621128731343287E-2</v>
      </c>
      <c r="BK177">
        <f t="shared" si="286"/>
        <v>6.2640000000000005E-3</v>
      </c>
      <c r="BM177" s="471">
        <f t="shared" si="287"/>
        <v>102.59989853280177</v>
      </c>
      <c r="BN177" s="545">
        <f t="shared" si="288"/>
        <v>8.0399999999999999E-2</v>
      </c>
      <c r="BQ177" s="471">
        <f t="shared" si="289"/>
        <v>80.400000000000006</v>
      </c>
      <c r="BR177" s="545">
        <f t="shared" si="290"/>
        <v>5.8542942895156774E-3</v>
      </c>
      <c r="BS177" s="545">
        <f t="shared" si="291"/>
        <v>1.9558750760590292E-2</v>
      </c>
      <c r="BT177" s="545">
        <f t="shared" si="292"/>
        <v>1.0916139186003931E-2</v>
      </c>
      <c r="BU177" s="545"/>
      <c r="BV177" s="545">
        <f t="shared" si="293"/>
        <v>1.8135338345864671E-2</v>
      </c>
      <c r="BW177" s="471">
        <f t="shared" si="294"/>
        <v>54.464522581974578</v>
      </c>
      <c r="BX177" s="178">
        <f t="shared" si="295"/>
        <v>0.23746442111477634</v>
      </c>
      <c r="BY177" s="5">
        <f t="shared" si="296"/>
        <v>3.2160000000000002</v>
      </c>
      <c r="BZ177" s="178">
        <f t="shared" si="297"/>
        <v>0.93123878165273721</v>
      </c>
      <c r="CA177" s="5">
        <f t="shared" si="298"/>
        <v>93.123878165273723</v>
      </c>
      <c r="CD177" s="580">
        <f t="shared" si="327"/>
        <v>-50</v>
      </c>
      <c r="CE177">
        <f t="shared" si="328"/>
        <v>-50</v>
      </c>
    </row>
    <row r="178" spans="5:83" x14ac:dyDescent="0.2">
      <c r="E178" s="175">
        <v>68</v>
      </c>
      <c r="F178" s="222">
        <f t="shared" si="329"/>
        <v>0.27200000000000002</v>
      </c>
      <c r="G178" s="222"/>
      <c r="H178" s="222">
        <f t="shared" si="299"/>
        <v>3.2640000000000002</v>
      </c>
      <c r="I178" s="558">
        <f t="shared" si="300"/>
        <v>21.6</v>
      </c>
      <c r="J178" s="453">
        <f t="shared" si="301"/>
        <v>24.5</v>
      </c>
      <c r="K178" s="453">
        <f t="shared" si="302"/>
        <v>46.1</v>
      </c>
      <c r="L178" s="453"/>
      <c r="M178" s="222">
        <f t="shared" si="303"/>
        <v>0.53145336225596529</v>
      </c>
      <c r="N178" s="177">
        <f t="shared" si="304"/>
        <v>7.9064316702819957</v>
      </c>
      <c r="O178" s="177">
        <f t="shared" si="244"/>
        <v>3.2640000000000002</v>
      </c>
      <c r="P178" s="222">
        <f t="shared" si="305"/>
        <v>0.65886930585683301</v>
      </c>
      <c r="Q178" s="222">
        <f t="shared" si="306"/>
        <v>12</v>
      </c>
      <c r="R178" s="222"/>
      <c r="S178" s="177">
        <f t="shared" si="307"/>
        <v>43.955930718662557</v>
      </c>
      <c r="T178" s="553">
        <f t="shared" si="308"/>
        <v>12</v>
      </c>
      <c r="U178" s="222">
        <f t="shared" si="309"/>
        <v>0.5986012650674305</v>
      </c>
      <c r="V178" s="222">
        <f t="shared" si="310"/>
        <v>2.3278938085955629</v>
      </c>
      <c r="W178" s="222">
        <f t="shared" si="311"/>
        <v>2.0523471945169045</v>
      </c>
      <c r="X178" s="202">
        <f t="shared" si="312"/>
        <v>350</v>
      </c>
      <c r="Y178" s="453">
        <f t="shared" si="279"/>
        <v>228.29794052186401</v>
      </c>
      <c r="AA178" s="222">
        <f t="shared" si="313"/>
        <v>0.39045553145336231</v>
      </c>
      <c r="AB178" s="178">
        <f t="shared" si="314"/>
        <v>1.3387046792686708</v>
      </c>
      <c r="AC178" s="178">
        <f t="shared" si="315"/>
        <v>0.18294662645103313</v>
      </c>
      <c r="AD178" s="178"/>
      <c r="AE178" s="178">
        <f t="shared" si="316"/>
        <v>0.99428571428571422</v>
      </c>
      <c r="AF178" s="562">
        <f t="shared" si="317"/>
        <v>943.32144272691266</v>
      </c>
      <c r="AG178" s="545">
        <f t="shared" si="318"/>
        <v>0.10091999999999998</v>
      </c>
      <c r="AI178" s="178">
        <f t="shared" si="319"/>
        <v>0.47609522856952335</v>
      </c>
      <c r="AJ178" s="178">
        <f t="shared" si="320"/>
        <v>0.5986012650674305</v>
      </c>
      <c r="AK178" s="178">
        <f t="shared" si="321"/>
        <v>1.4285935296795782</v>
      </c>
      <c r="AM178" s="562">
        <f t="shared" si="322"/>
        <v>272</v>
      </c>
      <c r="AN178" s="471">
        <f t="shared" si="323"/>
        <v>228.29794052186401</v>
      </c>
      <c r="AP178">
        <f t="shared" si="324"/>
        <v>272</v>
      </c>
      <c r="AQ178">
        <f t="shared" si="325"/>
        <v>228.29794052186401</v>
      </c>
      <c r="AS178" s="5">
        <f t="shared" si="245"/>
        <v>4.3802410031124674</v>
      </c>
      <c r="AT178" s="5">
        <f t="shared" si="326"/>
        <v>2.3278938085955629</v>
      </c>
      <c r="AU178" s="5">
        <f t="shared" si="280"/>
        <v>2.0523471945169045</v>
      </c>
      <c r="AV178" s="5"/>
      <c r="AW178" s="178">
        <f t="shared" si="281"/>
        <v>0.53145336225596529</v>
      </c>
      <c r="AX178" s="178">
        <f t="shared" si="241"/>
        <v>3.4357894736842107</v>
      </c>
      <c r="AY178" s="178">
        <f t="shared" si="242"/>
        <v>0.28047261009667024</v>
      </c>
      <c r="AZ178" s="178">
        <f t="shared" si="246"/>
        <v>12.250000000000002</v>
      </c>
      <c r="BD178" s="178">
        <f t="shared" si="247"/>
        <v>0.2519472268284883</v>
      </c>
      <c r="BE178" s="178">
        <f t="shared" si="243"/>
        <v>0.4731331866337159</v>
      </c>
      <c r="BG178" s="545">
        <f t="shared" si="282"/>
        <v>2.2217091787298002E-2</v>
      </c>
      <c r="BH178" s="545">
        <f t="shared" si="283"/>
        <v>4.725E-2</v>
      </c>
      <c r="BI178" s="545">
        <f t="shared" si="284"/>
        <v>2.8537242565233002E-3</v>
      </c>
      <c r="BJ178" s="545">
        <f t="shared" si="285"/>
        <v>2.4259053308823532E-2</v>
      </c>
      <c r="BK178">
        <f t="shared" si="286"/>
        <v>6.2640000000000005E-3</v>
      </c>
      <c r="BM178" s="471">
        <f t="shared" si="287"/>
        <v>102.84386935264484</v>
      </c>
      <c r="BN178" s="545">
        <f t="shared" si="288"/>
        <v>8.1600000000000006E-2</v>
      </c>
      <c r="BQ178" s="471">
        <f t="shared" si="289"/>
        <v>81.600000000000009</v>
      </c>
      <c r="BR178" s="545">
        <f t="shared" si="290"/>
        <v>6.0303534851237446E-3</v>
      </c>
      <c r="BS178" s="545">
        <f t="shared" si="291"/>
        <v>2.0146951106475717E-2</v>
      </c>
      <c r="BT178" s="545">
        <f t="shared" si="292"/>
        <v>1.0916139186003935E-2</v>
      </c>
      <c r="BU178" s="545"/>
      <c r="BV178" s="545">
        <f t="shared" si="293"/>
        <v>1.8406015037593985E-2</v>
      </c>
      <c r="BW178" s="471">
        <f t="shared" si="294"/>
        <v>55.499458815197386</v>
      </c>
      <c r="BX178" s="178">
        <f t="shared" si="295"/>
        <v>0.2399433281678422</v>
      </c>
      <c r="BY178" s="5">
        <f t="shared" si="296"/>
        <v>3.2640000000000002</v>
      </c>
      <c r="BZ178" s="178">
        <f t="shared" si="297"/>
        <v>0.93152191525503225</v>
      </c>
      <c r="CA178" s="5">
        <f t="shared" si="298"/>
        <v>93.152191525503227</v>
      </c>
      <c r="CD178" s="580">
        <f t="shared" si="327"/>
        <v>-50</v>
      </c>
      <c r="CE178">
        <f t="shared" si="328"/>
        <v>-50</v>
      </c>
    </row>
    <row r="179" spans="5:83" x14ac:dyDescent="0.2">
      <c r="E179" s="175">
        <v>69</v>
      </c>
      <c r="F179" s="222">
        <f t="shared" si="329"/>
        <v>0.27599999999999997</v>
      </c>
      <c r="G179" s="222"/>
      <c r="H179" s="222">
        <f t="shared" si="299"/>
        <v>3.3119999999999994</v>
      </c>
      <c r="I179" s="558">
        <f t="shared" si="300"/>
        <v>21.6</v>
      </c>
      <c r="J179" s="453">
        <f t="shared" si="301"/>
        <v>24.5</v>
      </c>
      <c r="K179" s="453">
        <f t="shared" si="302"/>
        <v>46.1</v>
      </c>
      <c r="L179" s="453"/>
      <c r="M179" s="222">
        <f t="shared" si="303"/>
        <v>0.53145336225596529</v>
      </c>
      <c r="N179" s="177">
        <f t="shared" si="304"/>
        <v>7.9064316702819957</v>
      </c>
      <c r="O179" s="177">
        <f t="shared" si="244"/>
        <v>3.3119999999999994</v>
      </c>
      <c r="P179" s="222">
        <f t="shared" si="305"/>
        <v>0.65886930585683301</v>
      </c>
      <c r="Q179" s="222">
        <f t="shared" si="306"/>
        <v>12</v>
      </c>
      <c r="R179" s="222"/>
      <c r="S179" s="177">
        <f t="shared" si="307"/>
        <v>43.164365309387954</v>
      </c>
      <c r="T179" s="553">
        <f t="shared" si="308"/>
        <v>12</v>
      </c>
      <c r="U179" s="222">
        <f t="shared" si="309"/>
        <v>0.60740422484783374</v>
      </c>
      <c r="V179" s="222">
        <f t="shared" si="310"/>
        <v>2.3621275410749085</v>
      </c>
      <c r="W179" s="222">
        <f t="shared" si="311"/>
        <v>2.0825287709068583</v>
      </c>
      <c r="X179" s="202">
        <f t="shared" si="312"/>
        <v>350</v>
      </c>
      <c r="Y179" s="453">
        <f t="shared" si="279"/>
        <v>224.98927471719941</v>
      </c>
      <c r="AA179" s="222">
        <f t="shared" si="313"/>
        <v>0.39045553145336231</v>
      </c>
      <c r="AB179" s="178">
        <f t="shared" si="314"/>
        <v>1.3387046792686708</v>
      </c>
      <c r="AC179" s="178">
        <f t="shared" si="315"/>
        <v>0.18294662645103313</v>
      </c>
      <c r="AD179" s="178"/>
      <c r="AE179" s="178">
        <f t="shared" si="316"/>
        <v>0.99428571428571422</v>
      </c>
      <c r="AF179" s="562">
        <f t="shared" si="317"/>
        <v>957.19381688466126</v>
      </c>
      <c r="AG179" s="545">
        <f t="shared" si="318"/>
        <v>0.10091999999999998</v>
      </c>
      <c r="AI179" s="178">
        <f t="shared" si="319"/>
        <v>0.47958315233127191</v>
      </c>
      <c r="AJ179" s="178">
        <f t="shared" si="320"/>
        <v>0.60740422484783374</v>
      </c>
      <c r="AK179" s="178">
        <f t="shared" si="321"/>
        <v>1.4351142406280251</v>
      </c>
      <c r="AM179" s="562">
        <f t="shared" si="322"/>
        <v>275.99999999999994</v>
      </c>
      <c r="AN179" s="471">
        <f t="shared" si="323"/>
        <v>224.98927471719941</v>
      </c>
      <c r="AP179">
        <f t="shared" si="324"/>
        <v>275.99999999999994</v>
      </c>
      <c r="AQ179">
        <f t="shared" si="325"/>
        <v>224.98927471719941</v>
      </c>
      <c r="AS179" s="5">
        <f t="shared" si="245"/>
        <v>4.4446563119817668</v>
      </c>
      <c r="AT179" s="5">
        <f t="shared" si="326"/>
        <v>2.3621275410749085</v>
      </c>
      <c r="AU179" s="5">
        <f t="shared" si="280"/>
        <v>2.0825287709068583</v>
      </c>
      <c r="AV179" s="5"/>
      <c r="AW179" s="178">
        <f t="shared" si="281"/>
        <v>0.53145336225596529</v>
      </c>
      <c r="AX179" s="178">
        <f t="shared" si="241"/>
        <v>3.4863157894736845</v>
      </c>
      <c r="AY179" s="178">
        <f t="shared" si="242"/>
        <v>0.28459720730397414</v>
      </c>
      <c r="AZ179" s="178">
        <f t="shared" si="246"/>
        <v>12.250000000000004</v>
      </c>
      <c r="BD179" s="178">
        <f t="shared" si="247"/>
        <v>0.25565233310537777</v>
      </c>
      <c r="BE179" s="178">
        <f t="shared" si="243"/>
        <v>0.48009102761362338</v>
      </c>
      <c r="BG179" s="545">
        <f t="shared" si="282"/>
        <v>2.2875340397778058E-2</v>
      </c>
      <c r="BH179" s="545">
        <f t="shared" si="283"/>
        <v>4.7250000000000007E-2</v>
      </c>
      <c r="BI179" s="545">
        <f t="shared" si="284"/>
        <v>2.8123659339649924E-3</v>
      </c>
      <c r="BJ179" s="545">
        <f t="shared" si="285"/>
        <v>2.3907472826086969E-2</v>
      </c>
      <c r="BK179">
        <f t="shared" si="286"/>
        <v>6.2640000000000005E-3</v>
      </c>
      <c r="BM179" s="471">
        <f t="shared" si="287"/>
        <v>103.10917915783004</v>
      </c>
      <c r="BN179" s="545">
        <f t="shared" si="288"/>
        <v>8.2799999999999985E-2</v>
      </c>
      <c r="BQ179" s="471">
        <f t="shared" si="289"/>
        <v>82.799999999999983</v>
      </c>
      <c r="BR179" s="545">
        <f t="shared" si="290"/>
        <v>6.209020965111188E-3</v>
      </c>
      <c r="BS179" s="545">
        <f t="shared" si="291"/>
        <v>2.0743865531559439E-2</v>
      </c>
      <c r="BT179" s="545">
        <f t="shared" si="292"/>
        <v>1.0916139186003955E-2</v>
      </c>
      <c r="BU179" s="545"/>
      <c r="BV179" s="545">
        <f t="shared" si="293"/>
        <v>1.8676691729323312E-2</v>
      </c>
      <c r="BW179" s="471">
        <f t="shared" si="294"/>
        <v>56.545717411997899</v>
      </c>
      <c r="BX179" s="178">
        <f t="shared" si="295"/>
        <v>0.24245489656982791</v>
      </c>
      <c r="BY179" s="5">
        <f t="shared" si="296"/>
        <v>3.3119999999999994</v>
      </c>
      <c r="BZ179" s="178">
        <f t="shared" si="297"/>
        <v>0.93178844474751799</v>
      </c>
      <c r="CA179" s="5">
        <f t="shared" si="298"/>
        <v>93.178844474751799</v>
      </c>
      <c r="CD179" s="580">
        <f t="shared" si="327"/>
        <v>-50</v>
      </c>
      <c r="CE179">
        <f t="shared" si="328"/>
        <v>-50</v>
      </c>
    </row>
    <row r="180" spans="5:83" x14ac:dyDescent="0.2">
      <c r="E180" s="175">
        <v>70</v>
      </c>
      <c r="F180" s="222">
        <f t="shared" si="329"/>
        <v>0.27999999999999997</v>
      </c>
      <c r="G180" s="222"/>
      <c r="H180" s="222">
        <f t="shared" si="299"/>
        <v>3.3599999999999994</v>
      </c>
      <c r="I180" s="558">
        <f t="shared" si="300"/>
        <v>21.6</v>
      </c>
      <c r="J180" s="453">
        <f t="shared" si="301"/>
        <v>24.5</v>
      </c>
      <c r="K180" s="453">
        <f t="shared" si="302"/>
        <v>46.1</v>
      </c>
      <c r="L180" s="453"/>
      <c r="M180" s="222">
        <f t="shared" si="303"/>
        <v>0.53145336225596529</v>
      </c>
      <c r="N180" s="177">
        <f t="shared" si="304"/>
        <v>7.9064316702819957</v>
      </c>
      <c r="O180" s="177">
        <f t="shared" si="244"/>
        <v>3.3599999999999994</v>
      </c>
      <c r="P180" s="222">
        <f t="shared" si="305"/>
        <v>0.65886930585683301</v>
      </c>
      <c r="Q180" s="222">
        <f t="shared" si="306"/>
        <v>12</v>
      </c>
      <c r="R180" s="222"/>
      <c r="S180" s="177">
        <f t="shared" si="307"/>
        <v>42.395455582101377</v>
      </c>
      <c r="T180" s="553">
        <f t="shared" si="308"/>
        <v>12</v>
      </c>
      <c r="U180" s="222">
        <f t="shared" si="309"/>
        <v>0.61620718462823709</v>
      </c>
      <c r="V180" s="222">
        <f t="shared" si="310"/>
        <v>2.3963612735542554</v>
      </c>
      <c r="W180" s="222">
        <f t="shared" si="311"/>
        <v>2.1127103472968125</v>
      </c>
      <c r="X180" s="202">
        <f t="shared" si="312"/>
        <v>350</v>
      </c>
      <c r="Y180" s="453">
        <f t="shared" si="279"/>
        <v>221.77514222123941</v>
      </c>
      <c r="AA180" s="222">
        <f t="shared" si="313"/>
        <v>0.39045553145336231</v>
      </c>
      <c r="AB180" s="178">
        <f t="shared" si="314"/>
        <v>1.3387046792686708</v>
      </c>
      <c r="AC180" s="178">
        <f t="shared" si="315"/>
        <v>0.18294662645103313</v>
      </c>
      <c r="AD180" s="178"/>
      <c r="AE180" s="178">
        <f t="shared" si="316"/>
        <v>0.99428571428571422</v>
      </c>
      <c r="AF180" s="562">
        <f t="shared" si="317"/>
        <v>971.06619104240997</v>
      </c>
      <c r="AG180" s="545">
        <f t="shared" si="318"/>
        <v>0.10091999999999998</v>
      </c>
      <c r="AI180" s="178">
        <f t="shared" si="319"/>
        <v>0.48304589153964794</v>
      </c>
      <c r="AJ180" s="178">
        <f t="shared" si="320"/>
        <v>0.61620718462823709</v>
      </c>
      <c r="AK180" s="178">
        <f t="shared" si="321"/>
        <v>1.4416349515764719</v>
      </c>
      <c r="AM180" s="562">
        <f t="shared" si="322"/>
        <v>279.99999999999994</v>
      </c>
      <c r="AN180" s="471">
        <f t="shared" si="323"/>
        <v>221.77514222123941</v>
      </c>
      <c r="AP180">
        <f t="shared" si="324"/>
        <v>279.99999999999994</v>
      </c>
      <c r="AQ180">
        <f t="shared" si="325"/>
        <v>221.77514222123941</v>
      </c>
      <c r="AS180" s="5">
        <f t="shared" si="245"/>
        <v>4.5090716208510679</v>
      </c>
      <c r="AT180" s="5">
        <f t="shared" si="326"/>
        <v>2.3963612735542554</v>
      </c>
      <c r="AU180" s="5">
        <f t="shared" si="280"/>
        <v>2.1127103472968125</v>
      </c>
      <c r="AV180" s="5"/>
      <c r="AW180" s="178">
        <f t="shared" si="281"/>
        <v>0.5314533622559654</v>
      </c>
      <c r="AX180" s="178">
        <f t="shared" si="241"/>
        <v>3.5368421052631573</v>
      </c>
      <c r="AY180" s="178">
        <f t="shared" si="242"/>
        <v>0.28872180451127805</v>
      </c>
      <c r="AZ180" s="178">
        <f t="shared" si="246"/>
        <v>12.250000000000004</v>
      </c>
      <c r="BD180" s="178">
        <f t="shared" si="247"/>
        <v>0.25935743938226735</v>
      </c>
      <c r="BE180" s="178">
        <f t="shared" si="243"/>
        <v>0.48704886859353091</v>
      </c>
      <c r="BG180" s="545">
        <f t="shared" si="282"/>
        <v>2.3543198477024265E-2</v>
      </c>
      <c r="BH180" s="545">
        <f t="shared" si="283"/>
        <v>4.7250000000000007E-2</v>
      </c>
      <c r="BI180" s="545">
        <f t="shared" si="284"/>
        <v>2.7721892777654925E-3</v>
      </c>
      <c r="BJ180" s="545">
        <f t="shared" si="285"/>
        <v>2.3565937500000009E-2</v>
      </c>
      <c r="BK180">
        <f t="shared" si="286"/>
        <v>6.2640000000000005E-3</v>
      </c>
      <c r="BM180" s="471">
        <f t="shared" si="287"/>
        <v>103.39532525478978</v>
      </c>
      <c r="BN180" s="545">
        <f t="shared" si="288"/>
        <v>8.3999999999999991E-2</v>
      </c>
      <c r="BQ180" s="471">
        <f t="shared" si="289"/>
        <v>83.999999999999986</v>
      </c>
      <c r="BR180" s="545">
        <f t="shared" si="290"/>
        <v>6.3902967294780155E-3</v>
      </c>
      <c r="BS180" s="545">
        <f t="shared" si="291"/>
        <v>2.1349494035841469E-2</v>
      </c>
      <c r="BT180" s="545">
        <f t="shared" si="292"/>
        <v>1.0916139186003962E-2</v>
      </c>
      <c r="BU180" s="545"/>
      <c r="BV180" s="545">
        <f t="shared" si="293"/>
        <v>1.8947368421052629E-2</v>
      </c>
      <c r="BW180" s="471">
        <f t="shared" si="294"/>
        <v>57.603298372376081</v>
      </c>
      <c r="BX180" s="178">
        <f t="shared" si="295"/>
        <v>0.24499862362716585</v>
      </c>
      <c r="BY180" s="5">
        <f t="shared" si="296"/>
        <v>3.3599999999999994</v>
      </c>
      <c r="BZ180" s="178">
        <f t="shared" si="297"/>
        <v>0.93203919079983988</v>
      </c>
      <c r="CA180" s="5">
        <f t="shared" si="298"/>
        <v>93.20391907998399</v>
      </c>
      <c r="CD180" s="580">
        <f t="shared" si="327"/>
        <v>-50</v>
      </c>
      <c r="CE180">
        <f t="shared" si="328"/>
        <v>-50</v>
      </c>
    </row>
    <row r="181" spans="5:83" x14ac:dyDescent="0.2">
      <c r="E181" s="175">
        <v>71</v>
      </c>
      <c r="F181" s="222">
        <f t="shared" si="329"/>
        <v>0.28399999999999997</v>
      </c>
      <c r="G181" s="222"/>
      <c r="H181" s="222">
        <f t="shared" si="299"/>
        <v>3.4079999999999995</v>
      </c>
      <c r="I181" s="558">
        <f t="shared" si="300"/>
        <v>21.6</v>
      </c>
      <c r="J181" s="453">
        <f t="shared" si="301"/>
        <v>24.5</v>
      </c>
      <c r="K181" s="453">
        <f t="shared" si="302"/>
        <v>46.1</v>
      </c>
      <c r="L181" s="453"/>
      <c r="M181" s="222">
        <f t="shared" si="303"/>
        <v>0.53145336225596529</v>
      </c>
      <c r="N181" s="177">
        <f t="shared" si="304"/>
        <v>7.9064316702819957</v>
      </c>
      <c r="O181" s="177">
        <f t="shared" si="244"/>
        <v>3.4079999999999995</v>
      </c>
      <c r="P181" s="222">
        <f t="shared" si="305"/>
        <v>0.65886930585683301</v>
      </c>
      <c r="Q181" s="222">
        <f t="shared" si="306"/>
        <v>12</v>
      </c>
      <c r="R181" s="222"/>
      <c r="S181" s="177">
        <f t="shared" si="307"/>
        <v>41.6482446574147</v>
      </c>
      <c r="T181" s="553">
        <f t="shared" si="308"/>
        <v>12</v>
      </c>
      <c r="U181" s="222">
        <f t="shared" si="309"/>
        <v>0.62501014440864056</v>
      </c>
      <c r="V181" s="222">
        <f t="shared" si="310"/>
        <v>2.4305950060336019</v>
      </c>
      <c r="W181" s="222">
        <f t="shared" si="311"/>
        <v>2.1428919236867676</v>
      </c>
      <c r="X181" s="202">
        <f t="shared" si="312"/>
        <v>350</v>
      </c>
      <c r="Y181" s="453">
        <f t="shared" si="279"/>
        <v>218.65154866882756</v>
      </c>
      <c r="AA181" s="222">
        <f t="shared" si="313"/>
        <v>0.39045553145336231</v>
      </c>
      <c r="AB181" s="178">
        <f t="shared" si="314"/>
        <v>1.3387046792686708</v>
      </c>
      <c r="AC181" s="178">
        <f t="shared" si="315"/>
        <v>0.18294662645103313</v>
      </c>
      <c r="AD181" s="178"/>
      <c r="AE181" s="178">
        <f t="shared" si="316"/>
        <v>0.99428571428571422</v>
      </c>
      <c r="AF181" s="562">
        <f t="shared" si="317"/>
        <v>984.93856520015879</v>
      </c>
      <c r="AG181" s="545">
        <f t="shared" si="318"/>
        <v>0.10091999999999998</v>
      </c>
      <c r="AI181" s="178">
        <f t="shared" si="319"/>
        <v>0.4864839839775475</v>
      </c>
      <c r="AJ181" s="178">
        <f t="shared" si="320"/>
        <v>0.62501014440864056</v>
      </c>
      <c r="AK181" s="178">
        <f t="shared" si="321"/>
        <v>1.4481556625249188</v>
      </c>
      <c r="AM181" s="562">
        <f t="shared" si="322"/>
        <v>284</v>
      </c>
      <c r="AN181" s="471">
        <f t="shared" si="323"/>
        <v>218.65154866882756</v>
      </c>
      <c r="AP181">
        <f t="shared" si="324"/>
        <v>284</v>
      </c>
      <c r="AQ181">
        <f t="shared" si="325"/>
        <v>218.65154866882756</v>
      </c>
      <c r="AS181" s="5">
        <f t="shared" si="245"/>
        <v>4.5734869297203691</v>
      </c>
      <c r="AT181" s="5">
        <f t="shared" si="326"/>
        <v>2.4305950060336019</v>
      </c>
      <c r="AU181" s="5">
        <f t="shared" si="280"/>
        <v>2.1428919236867672</v>
      </c>
      <c r="AV181" s="5"/>
      <c r="AW181" s="178">
        <f t="shared" si="281"/>
        <v>0.53145336225596529</v>
      </c>
      <c r="AX181" s="178">
        <f t="shared" si="241"/>
        <v>3.5873684210526311</v>
      </c>
      <c r="AY181" s="178">
        <f t="shared" si="242"/>
        <v>0.29284640171858212</v>
      </c>
      <c r="AZ181" s="178">
        <f t="shared" si="246"/>
        <v>12.25</v>
      </c>
      <c r="BD181" s="178">
        <f t="shared" si="247"/>
        <v>0.26306254565915688</v>
      </c>
      <c r="BE181" s="178">
        <f t="shared" si="243"/>
        <v>0.49400670957343856</v>
      </c>
      <c r="BG181" s="545">
        <f t="shared" si="282"/>
        <v>2.4220666025036596E-2</v>
      </c>
      <c r="BH181" s="545">
        <f t="shared" si="283"/>
        <v>4.7250000000000007E-2</v>
      </c>
      <c r="BI181" s="545">
        <f t="shared" si="284"/>
        <v>2.7331443583603443E-3</v>
      </c>
      <c r="BJ181" s="545">
        <f t="shared" si="285"/>
        <v>2.323402288732395E-2</v>
      </c>
      <c r="BK181">
        <f t="shared" si="286"/>
        <v>6.2640000000000005E-3</v>
      </c>
      <c r="BM181" s="471">
        <f t="shared" si="287"/>
        <v>103.7018332707209</v>
      </c>
      <c r="BN181" s="545">
        <f t="shared" si="288"/>
        <v>8.5199999999999984E-2</v>
      </c>
      <c r="BQ181" s="471">
        <f t="shared" si="289"/>
        <v>85.199999999999989</v>
      </c>
      <c r="BR181" s="545">
        <f t="shared" si="290"/>
        <v>6.5741807782242192E-3</v>
      </c>
      <c r="BS181" s="545">
        <f t="shared" si="291"/>
        <v>2.196383661932181E-2</v>
      </c>
      <c r="BT181" s="545">
        <f t="shared" si="292"/>
        <v>1.0916139186003936E-2</v>
      </c>
      <c r="BU181" s="545"/>
      <c r="BV181" s="545">
        <f t="shared" si="293"/>
        <v>1.9218045112781957E-2</v>
      </c>
      <c r="BW181" s="471">
        <f t="shared" si="294"/>
        <v>58.672201696331918</v>
      </c>
      <c r="BX181" s="178">
        <f t="shared" si="295"/>
        <v>0.2475740349670528</v>
      </c>
      <c r="BY181" s="5">
        <f t="shared" si="296"/>
        <v>3.4079999999999995</v>
      </c>
      <c r="BZ181" s="178">
        <f t="shared" si="297"/>
        <v>0.9322749224611766</v>
      </c>
      <c r="CA181" s="5">
        <f t="shared" si="298"/>
        <v>93.227492246117663</v>
      </c>
      <c r="CD181" s="580">
        <f t="shared" si="327"/>
        <v>-50</v>
      </c>
      <c r="CE181">
        <f t="shared" si="328"/>
        <v>-50</v>
      </c>
    </row>
    <row r="182" spans="5:83" x14ac:dyDescent="0.2">
      <c r="E182" s="175">
        <v>72</v>
      </c>
      <c r="F182" s="222">
        <f t="shared" si="329"/>
        <v>0.28799999999999998</v>
      </c>
      <c r="G182" s="222"/>
      <c r="H182" s="222">
        <f t="shared" si="299"/>
        <v>3.4559999999999995</v>
      </c>
      <c r="I182" s="558">
        <f t="shared" si="300"/>
        <v>21.6</v>
      </c>
      <c r="J182" s="453">
        <f t="shared" si="301"/>
        <v>24.5</v>
      </c>
      <c r="K182" s="453">
        <f t="shared" si="302"/>
        <v>46.1</v>
      </c>
      <c r="L182" s="453"/>
      <c r="M182" s="222">
        <f t="shared" si="303"/>
        <v>0.53145336225596529</v>
      </c>
      <c r="N182" s="177">
        <f t="shared" si="304"/>
        <v>7.9064316702819957</v>
      </c>
      <c r="O182" s="177">
        <f t="shared" si="244"/>
        <v>3.4559999999999995</v>
      </c>
      <c r="P182" s="222">
        <f t="shared" si="305"/>
        <v>0.65886930585683301</v>
      </c>
      <c r="Q182" s="222">
        <f t="shared" si="306"/>
        <v>12</v>
      </c>
      <c r="R182" s="222"/>
      <c r="S182" s="177">
        <f t="shared" si="307"/>
        <v>40.921828821181997</v>
      </c>
      <c r="T182" s="553">
        <f t="shared" si="308"/>
        <v>12</v>
      </c>
      <c r="U182" s="222">
        <f t="shared" si="309"/>
        <v>0.63381310418904391</v>
      </c>
      <c r="V182" s="222">
        <f t="shared" si="310"/>
        <v>2.4648287385129484</v>
      </c>
      <c r="W182" s="222">
        <f t="shared" si="311"/>
        <v>2.1730735000767218</v>
      </c>
      <c r="X182" s="202">
        <f t="shared" si="312"/>
        <v>350</v>
      </c>
      <c r="Y182" s="453">
        <f t="shared" si="279"/>
        <v>215.61472160398273</v>
      </c>
      <c r="AA182" s="222">
        <f t="shared" si="313"/>
        <v>0.39045553145336231</v>
      </c>
      <c r="AB182" s="178">
        <f t="shared" si="314"/>
        <v>1.3387046792686708</v>
      </c>
      <c r="AC182" s="178">
        <f t="shared" si="315"/>
        <v>0.18294662645103313</v>
      </c>
      <c r="AD182" s="178"/>
      <c r="AE182" s="178">
        <f t="shared" si="316"/>
        <v>0.99428571428571422</v>
      </c>
      <c r="AF182" s="562">
        <f t="shared" si="317"/>
        <v>998.81093935790739</v>
      </c>
      <c r="AG182" s="545">
        <f t="shared" si="318"/>
        <v>0.10091999999999998</v>
      </c>
      <c r="AI182" s="178">
        <f t="shared" si="319"/>
        <v>0.4898979485566356</v>
      </c>
      <c r="AJ182" s="178">
        <f t="shared" si="320"/>
        <v>0.63381310418904391</v>
      </c>
      <c r="AK182" s="178">
        <f t="shared" si="321"/>
        <v>1.4546763734733659</v>
      </c>
      <c r="AM182" s="562">
        <f t="shared" si="322"/>
        <v>288</v>
      </c>
      <c r="AN182" s="471">
        <f t="shared" si="323"/>
        <v>215.61472160398273</v>
      </c>
      <c r="AP182">
        <f t="shared" si="324"/>
        <v>288</v>
      </c>
      <c r="AQ182">
        <f t="shared" si="325"/>
        <v>215.61472160398273</v>
      </c>
      <c r="AS182" s="5">
        <f t="shared" si="245"/>
        <v>4.6379022385896702</v>
      </c>
      <c r="AT182" s="5">
        <f t="shared" si="326"/>
        <v>2.4648287385129484</v>
      </c>
      <c r="AU182" s="5">
        <f t="shared" si="280"/>
        <v>2.1730735000767218</v>
      </c>
      <c r="AV182" s="5"/>
      <c r="AW182" s="178">
        <f t="shared" si="281"/>
        <v>0.53145336225596529</v>
      </c>
      <c r="AX182" s="178">
        <f t="shared" si="241"/>
        <v>3.6378947368421044</v>
      </c>
      <c r="AY182" s="178">
        <f t="shared" si="242"/>
        <v>0.29697099892588608</v>
      </c>
      <c r="AZ182" s="178">
        <f t="shared" si="246"/>
        <v>12.25</v>
      </c>
      <c r="BD182" s="178">
        <f t="shared" si="247"/>
        <v>0.26676765193604635</v>
      </c>
      <c r="BE182" s="178">
        <f t="shared" si="243"/>
        <v>0.5009645505533461</v>
      </c>
      <c r="BG182" s="545">
        <f t="shared" si="282"/>
        <v>2.4907743041815051E-2</v>
      </c>
      <c r="BH182" s="545">
        <f t="shared" si="283"/>
        <v>4.725E-2</v>
      </c>
      <c r="BI182" s="545">
        <f t="shared" si="284"/>
        <v>2.6951840200497841E-3</v>
      </c>
      <c r="BJ182" s="545">
        <f t="shared" si="285"/>
        <v>2.2911328125000009E-2</v>
      </c>
      <c r="BK182">
        <f t="shared" si="286"/>
        <v>6.2640000000000005E-3</v>
      </c>
      <c r="BM182" s="471">
        <f t="shared" si="287"/>
        <v>104.02825518686484</v>
      </c>
      <c r="BN182" s="545">
        <f t="shared" si="288"/>
        <v>8.6399999999999991E-2</v>
      </c>
      <c r="BQ182" s="471">
        <f t="shared" si="289"/>
        <v>86.399999999999991</v>
      </c>
      <c r="BR182" s="545">
        <f t="shared" si="290"/>
        <v>6.7606731113497992E-3</v>
      </c>
      <c r="BS182" s="545">
        <f t="shared" si="291"/>
        <v>2.2586893282000441E-2</v>
      </c>
      <c r="BT182" s="545">
        <f t="shared" si="292"/>
        <v>1.0916139186003945E-2</v>
      </c>
      <c r="BU182" s="545"/>
      <c r="BV182" s="545">
        <f t="shared" si="293"/>
        <v>1.9488721804511278E-2</v>
      </c>
      <c r="BW182" s="471">
        <f t="shared" si="294"/>
        <v>59.752427383865466</v>
      </c>
      <c r="BX182" s="178">
        <f t="shared" si="295"/>
        <v>0.25018068257073034</v>
      </c>
      <c r="BY182" s="5">
        <f t="shared" si="296"/>
        <v>3.4559999999999995</v>
      </c>
      <c r="BZ182" s="178">
        <f t="shared" si="297"/>
        <v>0.93249636107940725</v>
      </c>
      <c r="CA182" s="5">
        <f t="shared" si="298"/>
        <v>93.249636107940731</v>
      </c>
      <c r="CD182" s="580">
        <f t="shared" si="327"/>
        <v>-50</v>
      </c>
      <c r="CE182">
        <f t="shared" si="328"/>
        <v>-50</v>
      </c>
    </row>
    <row r="183" spans="5:83" x14ac:dyDescent="0.2">
      <c r="E183" s="175">
        <v>73</v>
      </c>
      <c r="F183" s="222">
        <f t="shared" si="329"/>
        <v>0.29199999999999998</v>
      </c>
      <c r="G183" s="222"/>
      <c r="H183" s="222">
        <f t="shared" si="299"/>
        <v>3.5039999999999996</v>
      </c>
      <c r="I183" s="558">
        <f t="shared" si="300"/>
        <v>21.6</v>
      </c>
      <c r="J183" s="453">
        <f t="shared" si="301"/>
        <v>24.5</v>
      </c>
      <c r="K183" s="453">
        <f t="shared" si="302"/>
        <v>46.1</v>
      </c>
      <c r="L183" s="453"/>
      <c r="M183" s="222">
        <f t="shared" si="303"/>
        <v>0.53145336225596529</v>
      </c>
      <c r="N183" s="177">
        <f t="shared" si="304"/>
        <v>7.9064316702819957</v>
      </c>
      <c r="O183" s="177">
        <f t="shared" si="244"/>
        <v>3.5039999999999996</v>
      </c>
      <c r="P183" s="222">
        <f t="shared" si="305"/>
        <v>0.65886930585683301</v>
      </c>
      <c r="Q183" s="222">
        <f t="shared" si="306"/>
        <v>12</v>
      </c>
      <c r="R183" s="222"/>
      <c r="S183" s="177">
        <f t="shared" si="307"/>
        <v>40.215353883127221</v>
      </c>
      <c r="T183" s="553">
        <f t="shared" si="308"/>
        <v>12</v>
      </c>
      <c r="U183" s="222">
        <f t="shared" si="309"/>
        <v>0.64261606396944737</v>
      </c>
      <c r="V183" s="222">
        <f t="shared" si="310"/>
        <v>2.4990624709922953</v>
      </c>
      <c r="W183" s="222">
        <f t="shared" si="311"/>
        <v>2.203255076466677</v>
      </c>
      <c r="X183" s="202">
        <f t="shared" si="312"/>
        <v>350</v>
      </c>
      <c r="Y183" s="453">
        <f t="shared" si="279"/>
        <v>212.66109528064044</v>
      </c>
      <c r="AA183" s="222">
        <f t="shared" si="313"/>
        <v>0.39045553145336231</v>
      </c>
      <c r="AB183" s="178">
        <f t="shared" si="314"/>
        <v>1.3387046792686708</v>
      </c>
      <c r="AC183" s="178">
        <f t="shared" si="315"/>
        <v>0.18294662645103313</v>
      </c>
      <c r="AD183" s="178"/>
      <c r="AE183" s="178">
        <f t="shared" si="316"/>
        <v>0.99428571428571422</v>
      </c>
      <c r="AF183" s="562">
        <f t="shared" si="317"/>
        <v>1012.6833135156562</v>
      </c>
      <c r="AG183" s="545">
        <f t="shared" si="318"/>
        <v>0.10091999999999998</v>
      </c>
      <c r="AI183" s="178">
        <f t="shared" si="319"/>
        <v>0.49328828623162474</v>
      </c>
      <c r="AJ183" s="178">
        <f t="shared" si="320"/>
        <v>0.64261606396944737</v>
      </c>
      <c r="AK183" s="178">
        <f t="shared" si="321"/>
        <v>1.461197084421813</v>
      </c>
      <c r="AM183" s="562">
        <f t="shared" si="322"/>
        <v>292</v>
      </c>
      <c r="AN183" s="471">
        <f t="shared" si="323"/>
        <v>212.66109528064044</v>
      </c>
      <c r="AP183">
        <f t="shared" si="324"/>
        <v>292</v>
      </c>
      <c r="AQ183">
        <f t="shared" si="325"/>
        <v>212.66109528064044</v>
      </c>
      <c r="AS183" s="5">
        <f t="shared" si="245"/>
        <v>4.7023175474589722</v>
      </c>
      <c r="AT183" s="5">
        <f t="shared" si="326"/>
        <v>2.4990624709922953</v>
      </c>
      <c r="AU183" s="5">
        <f t="shared" si="280"/>
        <v>2.203255076466677</v>
      </c>
      <c r="AV183" s="5"/>
      <c r="AW183" s="178">
        <f t="shared" si="281"/>
        <v>0.53145336225596529</v>
      </c>
      <c r="AX183" s="178">
        <f t="shared" si="241"/>
        <v>3.6884210526315786</v>
      </c>
      <c r="AY183" s="178">
        <f t="shared" si="242"/>
        <v>0.30109559613319009</v>
      </c>
      <c r="AZ183" s="178">
        <f t="shared" si="246"/>
        <v>12.25</v>
      </c>
      <c r="BD183" s="178">
        <f t="shared" si="247"/>
        <v>0.27047275821293593</v>
      </c>
      <c r="BE183" s="178">
        <f t="shared" si="243"/>
        <v>0.5079223915332538</v>
      </c>
      <c r="BG183" s="545">
        <f t="shared" si="282"/>
        <v>2.5604429527359654E-2</v>
      </c>
      <c r="BH183" s="545">
        <f t="shared" si="283"/>
        <v>4.7249999999999986E-2</v>
      </c>
      <c r="BI183" s="545">
        <f t="shared" si="284"/>
        <v>2.6582636910080053E-3</v>
      </c>
      <c r="BJ183" s="545">
        <f t="shared" si="285"/>
        <v>2.2597474315068495E-2</v>
      </c>
      <c r="BK183">
        <f t="shared" si="286"/>
        <v>6.2640000000000005E-3</v>
      </c>
      <c r="BM183" s="471">
        <f t="shared" si="287"/>
        <v>104.37416753343615</v>
      </c>
      <c r="BN183" s="545">
        <f t="shared" si="288"/>
        <v>8.7599999999999997E-2</v>
      </c>
      <c r="BQ183" s="471">
        <f t="shared" si="289"/>
        <v>87.6</v>
      </c>
      <c r="BR183" s="545">
        <f t="shared" si="290"/>
        <v>6.9497737288547641E-3</v>
      </c>
      <c r="BS183" s="545">
        <f t="shared" si="291"/>
        <v>2.3218664023877397E-2</v>
      </c>
      <c r="BT183" s="545">
        <f t="shared" si="292"/>
        <v>1.0916139186003928E-2</v>
      </c>
      <c r="BU183" s="545"/>
      <c r="BV183" s="545">
        <f t="shared" si="293"/>
        <v>1.9759398496240598E-2</v>
      </c>
      <c r="BW183" s="471">
        <f t="shared" si="294"/>
        <v>60.843975434976691</v>
      </c>
      <c r="BX183" s="178">
        <f t="shared" si="295"/>
        <v>0.25281814296841287</v>
      </c>
      <c r="BY183" s="5">
        <f t="shared" si="296"/>
        <v>3.5039999999999996</v>
      </c>
      <c r="BZ183" s="178">
        <f t="shared" si="297"/>
        <v>0.93270418387389631</v>
      </c>
      <c r="CA183" s="5">
        <f t="shared" si="298"/>
        <v>93.270418387389626</v>
      </c>
      <c r="CD183" s="580">
        <f t="shared" si="327"/>
        <v>-50</v>
      </c>
      <c r="CE183">
        <f t="shared" si="328"/>
        <v>-50</v>
      </c>
    </row>
    <row r="184" spans="5:83" x14ac:dyDescent="0.2">
      <c r="E184" s="175">
        <v>74</v>
      </c>
      <c r="F184" s="222">
        <f t="shared" si="329"/>
        <v>0.29599999999999999</v>
      </c>
      <c r="G184" s="222"/>
      <c r="H184" s="222">
        <f t="shared" si="299"/>
        <v>3.5519999999999996</v>
      </c>
      <c r="I184" s="558">
        <f t="shared" si="300"/>
        <v>21.6</v>
      </c>
      <c r="J184" s="453">
        <f t="shared" si="301"/>
        <v>24.5</v>
      </c>
      <c r="K184" s="453">
        <f t="shared" si="302"/>
        <v>46.1</v>
      </c>
      <c r="L184" s="453"/>
      <c r="M184" s="222">
        <f t="shared" si="303"/>
        <v>0.53145336225596529</v>
      </c>
      <c r="N184" s="177">
        <f t="shared" si="304"/>
        <v>7.9064316702819957</v>
      </c>
      <c r="O184" s="177">
        <f t="shared" si="244"/>
        <v>3.5519999999999996</v>
      </c>
      <c r="P184" s="222">
        <f t="shared" si="305"/>
        <v>0.65886930585683301</v>
      </c>
      <c r="Q184" s="222">
        <f t="shared" si="306"/>
        <v>12</v>
      </c>
      <c r="R184" s="222"/>
      <c r="S184" s="177">
        <f t="shared" si="307"/>
        <v>39.528011830719876</v>
      </c>
      <c r="T184" s="553">
        <f t="shared" si="308"/>
        <v>12</v>
      </c>
      <c r="U184" s="222">
        <f t="shared" si="309"/>
        <v>0.65141902374985072</v>
      </c>
      <c r="V184" s="222">
        <f t="shared" si="310"/>
        <v>2.5332962034716413</v>
      </c>
      <c r="W184" s="222">
        <f t="shared" si="311"/>
        <v>2.2334366528566312</v>
      </c>
      <c r="X184" s="202">
        <f t="shared" si="312"/>
        <v>350</v>
      </c>
      <c r="Y184" s="453">
        <f t="shared" si="279"/>
        <v>209.78729669576697</v>
      </c>
      <c r="AA184" s="222">
        <f t="shared" si="313"/>
        <v>0.39045553145336231</v>
      </c>
      <c r="AB184" s="178">
        <f t="shared" si="314"/>
        <v>1.3387046792686708</v>
      </c>
      <c r="AC184" s="178">
        <f t="shared" si="315"/>
        <v>0.18294662645103313</v>
      </c>
      <c r="AD184" s="178"/>
      <c r="AE184" s="178">
        <f t="shared" si="316"/>
        <v>0.99428571428571422</v>
      </c>
      <c r="AF184" s="562">
        <f t="shared" si="317"/>
        <v>1026.5556876734049</v>
      </c>
      <c r="AG184" s="545">
        <f t="shared" si="318"/>
        <v>0.10091999999999998</v>
      </c>
      <c r="AI184" s="178">
        <f t="shared" si="319"/>
        <v>0.49665548085837802</v>
      </c>
      <c r="AJ184" s="178">
        <f t="shared" si="320"/>
        <v>0.65141902374985072</v>
      </c>
      <c r="AK184" s="178">
        <f t="shared" si="321"/>
        <v>1.4677177953702598</v>
      </c>
      <c r="AM184" s="562">
        <f t="shared" si="322"/>
        <v>296</v>
      </c>
      <c r="AN184" s="471">
        <f t="shared" si="323"/>
        <v>209.78729669576697</v>
      </c>
      <c r="AP184">
        <f t="shared" si="324"/>
        <v>296</v>
      </c>
      <c r="AQ184">
        <f t="shared" si="325"/>
        <v>209.78729669576697</v>
      </c>
      <c r="AS184" s="5">
        <f t="shared" si="245"/>
        <v>4.7667328563282725</v>
      </c>
      <c r="AT184" s="5">
        <f t="shared" si="326"/>
        <v>2.5332962034716413</v>
      </c>
      <c r="AU184" s="5">
        <f t="shared" si="280"/>
        <v>2.2334366528566312</v>
      </c>
      <c r="AV184" s="5"/>
      <c r="AW184" s="178">
        <f t="shared" si="281"/>
        <v>0.53145336225596529</v>
      </c>
      <c r="AX184" s="178">
        <f t="shared" si="241"/>
        <v>3.7389473684210528</v>
      </c>
      <c r="AY184" s="178">
        <f t="shared" si="242"/>
        <v>0.30522019334049405</v>
      </c>
      <c r="AZ184" s="178">
        <f t="shared" si="246"/>
        <v>12.250000000000002</v>
      </c>
      <c r="BD184" s="178">
        <f t="shared" si="247"/>
        <v>0.27417786448982545</v>
      </c>
      <c r="BE184" s="178">
        <f t="shared" si="243"/>
        <v>0.51488023251316128</v>
      </c>
      <c r="BG184" s="545">
        <f t="shared" si="282"/>
        <v>2.6310725481670381E-2</v>
      </c>
      <c r="BH184" s="545">
        <f t="shared" si="283"/>
        <v>4.725E-2</v>
      </c>
      <c r="BI184" s="545">
        <f t="shared" si="284"/>
        <v>2.6223412086970868E-3</v>
      </c>
      <c r="BJ184" s="545">
        <f t="shared" si="285"/>
        <v>2.2292103040540547E-2</v>
      </c>
      <c r="BK184">
        <f t="shared" si="286"/>
        <v>6.2640000000000005E-3</v>
      </c>
      <c r="BM184" s="471">
        <f t="shared" si="287"/>
        <v>104.73916973090802</v>
      </c>
      <c r="BN184" s="545">
        <f t="shared" si="288"/>
        <v>8.879999999999999E-2</v>
      </c>
      <c r="BQ184" s="471">
        <f t="shared" si="289"/>
        <v>88.799999999999983</v>
      </c>
      <c r="BR184" s="545">
        <f t="shared" si="290"/>
        <v>7.1414826307391035E-3</v>
      </c>
      <c r="BS184" s="545">
        <f t="shared" si="291"/>
        <v>2.3859148844952632E-2</v>
      </c>
      <c r="BT184" s="545">
        <f t="shared" si="292"/>
        <v>1.0916139186003947E-2</v>
      </c>
      <c r="BU184" s="545"/>
      <c r="BV184" s="545">
        <f t="shared" si="293"/>
        <v>2.0030075187969926E-2</v>
      </c>
      <c r="BW184" s="471">
        <f t="shared" si="294"/>
        <v>61.946845849665607</v>
      </c>
      <c r="BX184" s="178">
        <f t="shared" si="295"/>
        <v>0.2554860155805736</v>
      </c>
      <c r="BY184" s="5">
        <f t="shared" si="296"/>
        <v>3.5519999999999996</v>
      </c>
      <c r="BZ184" s="178">
        <f t="shared" si="297"/>
        <v>0.93289902719665885</v>
      </c>
      <c r="CA184" s="5">
        <f t="shared" si="298"/>
        <v>93.289902719665889</v>
      </c>
      <c r="CD184" s="580">
        <f t="shared" si="327"/>
        <v>-50</v>
      </c>
      <c r="CE184">
        <f t="shared" si="328"/>
        <v>-50</v>
      </c>
    </row>
    <row r="185" spans="5:83" x14ac:dyDescent="0.2">
      <c r="E185" s="175">
        <v>75</v>
      </c>
      <c r="F185" s="222">
        <f t="shared" si="329"/>
        <v>0.30000000000000004</v>
      </c>
      <c r="G185" s="222"/>
      <c r="H185" s="222">
        <f t="shared" si="299"/>
        <v>3.6000000000000005</v>
      </c>
      <c r="I185" s="558">
        <f t="shared" si="300"/>
        <v>21.6</v>
      </c>
      <c r="J185" s="453">
        <f t="shared" si="301"/>
        <v>24.5</v>
      </c>
      <c r="K185" s="453">
        <f t="shared" si="302"/>
        <v>46.1</v>
      </c>
      <c r="L185" s="453"/>
      <c r="M185" s="222">
        <f t="shared" si="303"/>
        <v>0.53145336225596529</v>
      </c>
      <c r="N185" s="177">
        <f t="shared" si="304"/>
        <v>7.9064316702819957</v>
      </c>
      <c r="O185" s="177">
        <f t="shared" si="244"/>
        <v>3.6000000000000005</v>
      </c>
      <c r="P185" s="222">
        <f t="shared" si="305"/>
        <v>0.65886930585683301</v>
      </c>
      <c r="Q185" s="222">
        <f t="shared" si="306"/>
        <v>12</v>
      </c>
      <c r="R185" s="222"/>
      <c r="S185" s="177">
        <f t="shared" si="307"/>
        <v>38.859037750742118</v>
      </c>
      <c r="T185" s="553">
        <f t="shared" si="308"/>
        <v>12</v>
      </c>
      <c r="U185" s="222">
        <f t="shared" si="309"/>
        <v>0.6602219835302543</v>
      </c>
      <c r="V185" s="222">
        <f t="shared" si="310"/>
        <v>2.5675299359509887</v>
      </c>
      <c r="W185" s="222">
        <f t="shared" si="311"/>
        <v>2.2636182292465863</v>
      </c>
      <c r="X185" s="202">
        <f t="shared" si="312"/>
        <v>350</v>
      </c>
      <c r="Y185" s="453">
        <f t="shared" si="279"/>
        <v>206.99013273982331</v>
      </c>
      <c r="AA185" s="222">
        <f t="shared" si="313"/>
        <v>0.39045553145336231</v>
      </c>
      <c r="AB185" s="178">
        <f t="shared" si="314"/>
        <v>1.3387046792686708</v>
      </c>
      <c r="AC185" s="178">
        <f t="shared" si="315"/>
        <v>0.18294662645103313</v>
      </c>
      <c r="AD185" s="178"/>
      <c r="AE185" s="178">
        <f t="shared" si="316"/>
        <v>0.99428571428571422</v>
      </c>
      <c r="AF185" s="562">
        <f t="shared" si="317"/>
        <v>1040.4280618311539</v>
      </c>
      <c r="AG185" s="545">
        <f t="shared" si="318"/>
        <v>0.10091999999999998</v>
      </c>
      <c r="AI185" s="178">
        <f t="shared" si="319"/>
        <v>0.5</v>
      </c>
      <c r="AJ185" s="178">
        <f t="shared" si="320"/>
        <v>0.6602219835302543</v>
      </c>
      <c r="AK185" s="178">
        <f t="shared" si="321"/>
        <v>1.4742385063187069</v>
      </c>
      <c r="AM185" s="562">
        <f t="shared" si="322"/>
        <v>300.00000000000006</v>
      </c>
      <c r="AN185" s="471">
        <f t="shared" si="323"/>
        <v>206.99013273982331</v>
      </c>
      <c r="AP185">
        <f t="shared" si="324"/>
        <v>300.00000000000006</v>
      </c>
      <c r="AQ185">
        <f t="shared" si="325"/>
        <v>206.99013273982331</v>
      </c>
      <c r="AS185" s="5">
        <f t="shared" si="245"/>
        <v>4.8311481651975754</v>
      </c>
      <c r="AT185" s="5">
        <f t="shared" si="326"/>
        <v>2.5675299359509887</v>
      </c>
      <c r="AU185" s="5">
        <f t="shared" si="280"/>
        <v>2.2636182292465867</v>
      </c>
      <c r="AV185" s="5"/>
      <c r="AW185" s="178">
        <f t="shared" si="281"/>
        <v>0.53145336225596518</v>
      </c>
      <c r="AX185" s="178">
        <f t="shared" si="241"/>
        <v>3.7894736842105261</v>
      </c>
      <c r="AY185" s="178">
        <f t="shared" si="242"/>
        <v>0.30934479054779818</v>
      </c>
      <c r="AZ185" s="178">
        <f t="shared" si="246"/>
        <v>12.249999999999995</v>
      </c>
      <c r="BD185" s="178">
        <f t="shared" si="247"/>
        <v>0.27788297076671503</v>
      </c>
      <c r="BE185" s="178">
        <f t="shared" si="243"/>
        <v>0.5218380734930691</v>
      </c>
      <c r="BG185" s="545">
        <f t="shared" si="282"/>
        <v>2.7026630904747252E-2</v>
      </c>
      <c r="BH185" s="545">
        <f t="shared" si="283"/>
        <v>4.7249999999999993E-2</v>
      </c>
      <c r="BI185" s="545">
        <f t="shared" si="284"/>
        <v>2.5873766592477911E-3</v>
      </c>
      <c r="BJ185" s="545">
        <f t="shared" si="285"/>
        <v>2.1994874999999994E-2</v>
      </c>
      <c r="BK185">
        <f t="shared" si="286"/>
        <v>6.2640000000000005E-3</v>
      </c>
      <c r="BM185" s="471">
        <f t="shared" si="287"/>
        <v>105.12288256399505</v>
      </c>
      <c r="BN185" s="545">
        <f t="shared" si="288"/>
        <v>9.0000000000000011E-2</v>
      </c>
      <c r="BQ185" s="471">
        <f t="shared" si="289"/>
        <v>90.000000000000014</v>
      </c>
      <c r="BR185" s="545">
        <f t="shared" si="290"/>
        <v>7.3357998170028253E-3</v>
      </c>
      <c r="BS185" s="545">
        <f t="shared" si="291"/>
        <v>2.45083477452262E-2</v>
      </c>
      <c r="BT185" s="545">
        <f t="shared" si="292"/>
        <v>1.0916139186003948E-2</v>
      </c>
      <c r="BU185" s="545"/>
      <c r="BV185" s="545">
        <f t="shared" si="293"/>
        <v>2.030075187969925E-2</v>
      </c>
      <c r="BW185" s="471">
        <f t="shared" si="294"/>
        <v>63.06103862793222</v>
      </c>
      <c r="BX185" s="178">
        <f t="shared" si="295"/>
        <v>0.25818392119192729</v>
      </c>
      <c r="BY185" s="5">
        <f t="shared" si="296"/>
        <v>3.6000000000000005</v>
      </c>
      <c r="BZ185" s="178">
        <f t="shared" si="297"/>
        <v>0.93308148951277436</v>
      </c>
      <c r="CA185" s="5">
        <f t="shared" si="298"/>
        <v>93.308148951277431</v>
      </c>
      <c r="CD185" s="580">
        <f t="shared" si="327"/>
        <v>-50</v>
      </c>
      <c r="CE185">
        <f t="shared" si="328"/>
        <v>-50</v>
      </c>
    </row>
    <row r="186" spans="5:83" x14ac:dyDescent="0.2">
      <c r="E186" s="175">
        <v>76</v>
      </c>
      <c r="F186" s="222">
        <f t="shared" si="329"/>
        <v>0.30400000000000005</v>
      </c>
      <c r="G186" s="222"/>
      <c r="H186" s="222">
        <f t="shared" si="299"/>
        <v>3.6480000000000006</v>
      </c>
      <c r="I186" s="558">
        <f t="shared" si="300"/>
        <v>21.6</v>
      </c>
      <c r="J186" s="453">
        <f t="shared" si="301"/>
        <v>24.5</v>
      </c>
      <c r="K186" s="453">
        <f t="shared" si="302"/>
        <v>46.1</v>
      </c>
      <c r="L186" s="453"/>
      <c r="M186" s="222">
        <f t="shared" si="303"/>
        <v>0.53145336225596529</v>
      </c>
      <c r="N186" s="177">
        <f t="shared" si="304"/>
        <v>7.9064316702819957</v>
      </c>
      <c r="O186" s="177">
        <f t="shared" si="244"/>
        <v>3.6480000000000006</v>
      </c>
      <c r="P186" s="222">
        <f t="shared" si="305"/>
        <v>0.65886930585683301</v>
      </c>
      <c r="Q186" s="222">
        <f t="shared" si="306"/>
        <v>12</v>
      </c>
      <c r="R186" s="222"/>
      <c r="S186" s="177">
        <f t="shared" si="307"/>
        <v>38.207706993891456</v>
      </c>
      <c r="T186" s="553">
        <f t="shared" si="308"/>
        <v>12</v>
      </c>
      <c r="U186" s="222">
        <f t="shared" si="309"/>
        <v>0.66902494331065765</v>
      </c>
      <c r="V186" s="222">
        <f t="shared" si="310"/>
        <v>2.6017636684303351</v>
      </c>
      <c r="W186" s="222">
        <f t="shared" si="311"/>
        <v>2.2937998056365405</v>
      </c>
      <c r="X186" s="202">
        <f t="shared" si="312"/>
        <v>350</v>
      </c>
      <c r="Y186" s="453">
        <f t="shared" si="279"/>
        <v>204.2665783616678</v>
      </c>
      <c r="AA186" s="222">
        <f t="shared" si="313"/>
        <v>0.39045553145336231</v>
      </c>
      <c r="AB186" s="178">
        <f t="shared" si="314"/>
        <v>1.3387046792686708</v>
      </c>
      <c r="AC186" s="178">
        <f t="shared" si="315"/>
        <v>0.18294662645103313</v>
      </c>
      <c r="AD186" s="178"/>
      <c r="AE186" s="178">
        <f t="shared" si="316"/>
        <v>0.99428571428571422</v>
      </c>
      <c r="AF186" s="562">
        <f t="shared" si="317"/>
        <v>1054.3004359889026</v>
      </c>
      <c r="AG186" s="545">
        <f t="shared" si="318"/>
        <v>0.10091999999999998</v>
      </c>
      <c r="AI186" s="178">
        <f t="shared" si="319"/>
        <v>0.50332229568471676</v>
      </c>
      <c r="AJ186" s="178">
        <f t="shared" si="320"/>
        <v>0.66902494331065765</v>
      </c>
      <c r="AK186" s="178">
        <f t="shared" si="321"/>
        <v>1.4807592172671538</v>
      </c>
      <c r="AM186" s="562">
        <f t="shared" si="322"/>
        <v>304.00000000000006</v>
      </c>
      <c r="AN186" s="471">
        <f t="shared" si="323"/>
        <v>204.2665783616678</v>
      </c>
      <c r="AP186">
        <f t="shared" si="324"/>
        <v>304.00000000000006</v>
      </c>
      <c r="AQ186">
        <f t="shared" si="325"/>
        <v>204.2665783616678</v>
      </c>
      <c r="AS186" s="5">
        <f t="shared" si="245"/>
        <v>4.8955634740668756</v>
      </c>
      <c r="AT186" s="5">
        <f t="shared" si="326"/>
        <v>2.6017636684303351</v>
      </c>
      <c r="AU186" s="5">
        <f t="shared" si="280"/>
        <v>2.2937998056365405</v>
      </c>
      <c r="AV186" s="5"/>
      <c r="AW186" s="178">
        <f t="shared" si="281"/>
        <v>0.53145336225596529</v>
      </c>
      <c r="AX186" s="178">
        <f t="shared" si="241"/>
        <v>3.8400000000000007</v>
      </c>
      <c r="AY186" s="178">
        <f t="shared" si="242"/>
        <v>0.31346938775510208</v>
      </c>
      <c r="AZ186" s="178">
        <f t="shared" si="246"/>
        <v>12.25</v>
      </c>
      <c r="BD186" s="178">
        <f t="shared" si="247"/>
        <v>0.28158807704360461</v>
      </c>
      <c r="BE186" s="178">
        <f t="shared" si="243"/>
        <v>0.52879591447297658</v>
      </c>
      <c r="BG186" s="545">
        <f t="shared" si="282"/>
        <v>2.7752145796590251E-2</v>
      </c>
      <c r="BH186" s="545">
        <f t="shared" si="283"/>
        <v>4.725E-2</v>
      </c>
      <c r="BI186" s="545">
        <f t="shared" si="284"/>
        <v>2.5533322295208474E-3</v>
      </c>
      <c r="BJ186" s="545">
        <f t="shared" si="285"/>
        <v>2.1705468750000002E-2</v>
      </c>
      <c r="BK186">
        <f t="shared" si="286"/>
        <v>6.2640000000000005E-3</v>
      </c>
      <c r="BM186" s="471">
        <f t="shared" si="287"/>
        <v>105.52494677611111</v>
      </c>
      <c r="BN186" s="545">
        <f t="shared" si="288"/>
        <v>9.1200000000000017E-2</v>
      </c>
      <c r="BQ186" s="471">
        <f t="shared" si="289"/>
        <v>91.200000000000017</v>
      </c>
      <c r="BR186" s="545">
        <f t="shared" si="290"/>
        <v>7.5327252876459258E-3</v>
      </c>
      <c r="BS186" s="545">
        <f t="shared" si="291"/>
        <v>2.516626072469804E-2</v>
      </c>
      <c r="BT186" s="545">
        <f t="shared" si="292"/>
        <v>1.0916139186003947E-2</v>
      </c>
      <c r="BU186" s="545"/>
      <c r="BV186" s="545">
        <f t="shared" si="293"/>
        <v>2.0571428571428577E-2</v>
      </c>
      <c r="BW186" s="471">
        <f t="shared" si="294"/>
        <v>64.186553769776481</v>
      </c>
      <c r="BX186" s="178">
        <f t="shared" si="295"/>
        <v>0.26091150054588763</v>
      </c>
      <c r="BY186" s="5">
        <f t="shared" si="296"/>
        <v>3.6480000000000006</v>
      </c>
      <c r="BZ186" s="178">
        <f t="shared" si="297"/>
        <v>0.93325213412750563</v>
      </c>
      <c r="CA186" s="5">
        <f t="shared" si="298"/>
        <v>93.325213412750557</v>
      </c>
      <c r="CD186" s="580">
        <f t="shared" si="327"/>
        <v>-50</v>
      </c>
      <c r="CE186">
        <f t="shared" si="328"/>
        <v>-50</v>
      </c>
    </row>
    <row r="187" spans="5:83" x14ac:dyDescent="0.2">
      <c r="E187" s="175">
        <v>77</v>
      </c>
      <c r="F187" s="222">
        <f t="shared" si="329"/>
        <v>0.30800000000000005</v>
      </c>
      <c r="G187" s="222"/>
      <c r="H187" s="222">
        <f t="shared" si="299"/>
        <v>3.6960000000000006</v>
      </c>
      <c r="I187" s="558">
        <f t="shared" si="300"/>
        <v>21.6</v>
      </c>
      <c r="J187" s="453">
        <f t="shared" si="301"/>
        <v>24.5</v>
      </c>
      <c r="K187" s="453">
        <f t="shared" si="302"/>
        <v>46.1</v>
      </c>
      <c r="L187" s="453"/>
      <c r="M187" s="222">
        <f t="shared" si="303"/>
        <v>0.53145336225596529</v>
      </c>
      <c r="N187" s="177">
        <f t="shared" si="304"/>
        <v>7.9064316702819957</v>
      </c>
      <c r="O187" s="177">
        <f t="shared" si="244"/>
        <v>3.6960000000000006</v>
      </c>
      <c r="P187" s="222">
        <f t="shared" si="305"/>
        <v>0.65886930585683301</v>
      </c>
      <c r="Q187" s="222">
        <f t="shared" si="306"/>
        <v>12</v>
      </c>
      <c r="R187" s="222"/>
      <c r="S187" s="177">
        <f t="shared" si="307"/>
        <v>37.573332560325078</v>
      </c>
      <c r="T187" s="553">
        <f t="shared" si="308"/>
        <v>12</v>
      </c>
      <c r="U187" s="222">
        <f t="shared" si="309"/>
        <v>0.67782790309106111</v>
      </c>
      <c r="V187" s="222">
        <f t="shared" si="310"/>
        <v>2.6359974009096816</v>
      </c>
      <c r="W187" s="222">
        <f t="shared" si="311"/>
        <v>2.3239813820264947</v>
      </c>
      <c r="X187" s="202">
        <f t="shared" si="312"/>
        <v>350</v>
      </c>
      <c r="Y187" s="453">
        <f t="shared" si="279"/>
        <v>201.61376565567213</v>
      </c>
      <c r="AA187" s="222">
        <f t="shared" si="313"/>
        <v>0.39045553145336231</v>
      </c>
      <c r="AB187" s="178">
        <f t="shared" si="314"/>
        <v>1.3387046792686708</v>
      </c>
      <c r="AC187" s="178">
        <f t="shared" si="315"/>
        <v>0.18294662645103313</v>
      </c>
      <c r="AD187" s="178"/>
      <c r="AE187" s="178">
        <f t="shared" si="316"/>
        <v>0.99428571428571422</v>
      </c>
      <c r="AF187" s="562">
        <f t="shared" si="317"/>
        <v>1068.1728101466513</v>
      </c>
      <c r="AG187" s="545">
        <f t="shared" si="318"/>
        <v>0.10091999999999998</v>
      </c>
      <c r="AI187" s="178">
        <f t="shared" si="319"/>
        <v>0.50662280511902213</v>
      </c>
      <c r="AJ187" s="178">
        <f t="shared" si="320"/>
        <v>0.67782790309106111</v>
      </c>
      <c r="AK187" s="178">
        <f t="shared" si="321"/>
        <v>1.4872799282156008</v>
      </c>
      <c r="AM187" s="562">
        <f t="shared" si="322"/>
        <v>308.00000000000006</v>
      </c>
      <c r="AN187" s="471">
        <f t="shared" si="323"/>
        <v>201.61376565567213</v>
      </c>
      <c r="AP187">
        <f t="shared" si="324"/>
        <v>308.00000000000006</v>
      </c>
      <c r="AQ187">
        <f t="shared" si="325"/>
        <v>201.61376565567213</v>
      </c>
      <c r="AS187" s="5">
        <f t="shared" si="245"/>
        <v>4.9599787829361759</v>
      </c>
      <c r="AT187" s="5">
        <f t="shared" si="326"/>
        <v>2.6359974009096816</v>
      </c>
      <c r="AU187" s="5">
        <f t="shared" si="280"/>
        <v>2.3239813820264943</v>
      </c>
      <c r="AV187" s="5"/>
      <c r="AW187" s="178">
        <f t="shared" si="281"/>
        <v>0.5314533622559654</v>
      </c>
      <c r="AX187" s="178">
        <f t="shared" si="241"/>
        <v>3.8905263157894754</v>
      </c>
      <c r="AY187" s="178">
        <f t="shared" si="242"/>
        <v>0.31759398496240598</v>
      </c>
      <c r="AZ187" s="178">
        <f t="shared" si="246"/>
        <v>12.250000000000007</v>
      </c>
      <c r="BD187" s="178">
        <f t="shared" si="247"/>
        <v>0.28529318332049419</v>
      </c>
      <c r="BE187" s="178">
        <f t="shared" si="243"/>
        <v>0.53575375545288428</v>
      </c>
      <c r="BG187" s="545">
        <f t="shared" si="282"/>
        <v>2.8487270157199387E-2</v>
      </c>
      <c r="BH187" s="545">
        <f t="shared" si="283"/>
        <v>4.7250000000000007E-2</v>
      </c>
      <c r="BI187" s="545">
        <f t="shared" si="284"/>
        <v>2.5201720706959016E-3</v>
      </c>
      <c r="BJ187" s="545">
        <f t="shared" si="285"/>
        <v>2.1423579545454548E-2</v>
      </c>
      <c r="BK187">
        <f t="shared" si="286"/>
        <v>6.2640000000000005E-3</v>
      </c>
      <c r="BM187" s="471">
        <f t="shared" si="287"/>
        <v>105.94502177334984</v>
      </c>
      <c r="BN187" s="545">
        <f t="shared" si="288"/>
        <v>9.240000000000001E-2</v>
      </c>
      <c r="BQ187" s="471">
        <f t="shared" si="289"/>
        <v>92.4</v>
      </c>
      <c r="BR187" s="545">
        <f t="shared" si="290"/>
        <v>7.7322590426684053E-3</v>
      </c>
      <c r="BS187" s="545">
        <f t="shared" si="291"/>
        <v>2.5832887783368206E-2</v>
      </c>
      <c r="BT187" s="545">
        <f t="shared" si="292"/>
        <v>1.0916139186003952E-2</v>
      </c>
      <c r="BU187" s="545"/>
      <c r="BV187" s="545">
        <f t="shared" si="293"/>
        <v>2.0842105263157905E-2</v>
      </c>
      <c r="BW187" s="471">
        <f t="shared" si="294"/>
        <v>65.323391275198475</v>
      </c>
      <c r="BX187" s="178">
        <f t="shared" si="295"/>
        <v>0.26366841304854832</v>
      </c>
      <c r="BY187" s="5">
        <f t="shared" si="296"/>
        <v>3.6960000000000006</v>
      </c>
      <c r="BZ187" s="178">
        <f t="shared" si="297"/>
        <v>0.93341149168459037</v>
      </c>
      <c r="CA187" s="5">
        <f t="shared" si="298"/>
        <v>93.34114916845904</v>
      </c>
      <c r="CD187" s="580">
        <f t="shared" si="327"/>
        <v>-50</v>
      </c>
      <c r="CE187">
        <f t="shared" si="328"/>
        <v>-50</v>
      </c>
    </row>
    <row r="188" spans="5:83" x14ac:dyDescent="0.2">
      <c r="E188" s="175">
        <v>78</v>
      </c>
      <c r="F188" s="222">
        <f t="shared" si="329"/>
        <v>0.31200000000000006</v>
      </c>
      <c r="G188" s="222"/>
      <c r="H188" s="222">
        <f t="shared" si="299"/>
        <v>3.7440000000000007</v>
      </c>
      <c r="I188" s="558">
        <f t="shared" si="300"/>
        <v>21.6</v>
      </c>
      <c r="J188" s="453">
        <f t="shared" si="301"/>
        <v>24.5</v>
      </c>
      <c r="K188" s="453">
        <f t="shared" si="302"/>
        <v>46.1</v>
      </c>
      <c r="L188" s="453"/>
      <c r="M188" s="222">
        <f t="shared" si="303"/>
        <v>0.53145336225596529</v>
      </c>
      <c r="N188" s="177">
        <f t="shared" si="304"/>
        <v>7.9064316702819957</v>
      </c>
      <c r="O188" s="177">
        <f t="shared" si="244"/>
        <v>3.7440000000000007</v>
      </c>
      <c r="P188" s="222">
        <f t="shared" si="305"/>
        <v>0.65886930585683301</v>
      </c>
      <c r="Q188" s="222">
        <f t="shared" si="306"/>
        <v>12</v>
      </c>
      <c r="R188" s="222"/>
      <c r="S188" s="177">
        <f t="shared" si="307"/>
        <v>36.95526268631761</v>
      </c>
      <c r="T188" s="553">
        <f t="shared" si="308"/>
        <v>12</v>
      </c>
      <c r="U188" s="222">
        <f t="shared" si="309"/>
        <v>0.68663086287146446</v>
      </c>
      <c r="V188" s="222">
        <f t="shared" si="310"/>
        <v>2.6702311333890285</v>
      </c>
      <c r="W188" s="222">
        <f t="shared" si="311"/>
        <v>2.3541629584164494</v>
      </c>
      <c r="X188" s="202">
        <f t="shared" si="312"/>
        <v>350</v>
      </c>
      <c r="Y188" s="453">
        <f t="shared" si="279"/>
        <v>199.02897378829169</v>
      </c>
      <c r="AA188" s="222">
        <f t="shared" si="313"/>
        <v>0.39045553145336231</v>
      </c>
      <c r="AB188" s="178">
        <f t="shared" si="314"/>
        <v>1.3387046792686708</v>
      </c>
      <c r="AC188" s="178">
        <f t="shared" si="315"/>
        <v>0.18294662645103313</v>
      </c>
      <c r="AD188" s="178"/>
      <c r="AE188" s="178">
        <f t="shared" si="316"/>
        <v>0.99428571428571422</v>
      </c>
      <c r="AF188" s="562">
        <f t="shared" si="317"/>
        <v>1082.0451843044</v>
      </c>
      <c r="AG188" s="545">
        <f t="shared" si="318"/>
        <v>0.10091999999999998</v>
      </c>
      <c r="AI188" s="178">
        <f t="shared" si="319"/>
        <v>0.50990195135927852</v>
      </c>
      <c r="AJ188" s="178">
        <f t="shared" si="320"/>
        <v>0.68663086287146446</v>
      </c>
      <c r="AK188" s="178">
        <f t="shared" si="321"/>
        <v>1.4938006391640477</v>
      </c>
      <c r="AM188" s="562">
        <f t="shared" si="322"/>
        <v>312.00000000000006</v>
      </c>
      <c r="AN188" s="471">
        <f t="shared" si="323"/>
        <v>199.02897378829169</v>
      </c>
      <c r="AP188">
        <f t="shared" si="324"/>
        <v>312.00000000000006</v>
      </c>
      <c r="AQ188">
        <f t="shared" si="325"/>
        <v>199.02897378829169</v>
      </c>
      <c r="AS188" s="5">
        <f t="shared" si="245"/>
        <v>5.024394091805477</v>
      </c>
      <c r="AT188" s="5">
        <f t="shared" si="326"/>
        <v>2.6702311333890285</v>
      </c>
      <c r="AU188" s="5">
        <f t="shared" si="280"/>
        <v>2.3541629584164485</v>
      </c>
      <c r="AV188" s="5"/>
      <c r="AW188" s="178">
        <f t="shared" si="281"/>
        <v>0.5314533622559654</v>
      </c>
      <c r="AX188" s="178">
        <f t="shared" si="241"/>
        <v>3.9410526315789483</v>
      </c>
      <c r="AY188" s="178">
        <f t="shared" si="242"/>
        <v>0.32171858216970994</v>
      </c>
      <c r="AZ188" s="178">
        <f t="shared" si="246"/>
        <v>12.250000000000005</v>
      </c>
      <c r="BD188" s="178">
        <f t="shared" si="247"/>
        <v>0.28899828959738372</v>
      </c>
      <c r="BE188" s="178">
        <f t="shared" si="243"/>
        <v>0.54271159643279188</v>
      </c>
      <c r="BG188" s="545">
        <f t="shared" si="282"/>
        <v>2.9232003986574641E-2</v>
      </c>
      <c r="BH188" s="545">
        <f t="shared" si="283"/>
        <v>4.725E-2</v>
      </c>
      <c r="BI188" s="545">
        <f t="shared" si="284"/>
        <v>2.4878621723536461E-3</v>
      </c>
      <c r="BJ188" s="545">
        <f t="shared" si="285"/>
        <v>2.1148918269230769E-2</v>
      </c>
      <c r="BK188">
        <f t="shared" si="286"/>
        <v>6.2640000000000005E-3</v>
      </c>
      <c r="BM188" s="471">
        <f t="shared" si="287"/>
        <v>106.38278442815907</v>
      </c>
      <c r="BN188" s="545">
        <f t="shared" si="288"/>
        <v>9.3600000000000017E-2</v>
      </c>
      <c r="BQ188" s="471">
        <f t="shared" si="289"/>
        <v>93.600000000000023</v>
      </c>
      <c r="BR188" s="545">
        <f t="shared" si="290"/>
        <v>7.934401082070261E-3</v>
      </c>
      <c r="BS188" s="545">
        <f t="shared" si="291"/>
        <v>2.6508228921236658E-2</v>
      </c>
      <c r="BT188" s="545">
        <f t="shared" si="292"/>
        <v>1.0916139186003945E-2</v>
      </c>
      <c r="BU188" s="545"/>
      <c r="BV188" s="545">
        <f t="shared" si="293"/>
        <v>2.1112781954887229E-2</v>
      </c>
      <c r="BW188" s="471">
        <f t="shared" si="294"/>
        <v>66.471551144198088</v>
      </c>
      <c r="BX188" s="178">
        <f t="shared" si="295"/>
        <v>0.2664543355723572</v>
      </c>
      <c r="BY188" s="5">
        <f t="shared" si="296"/>
        <v>3.7440000000000007</v>
      </c>
      <c r="BZ188" s="178">
        <f t="shared" si="297"/>
        <v>0.93356006245752965</v>
      </c>
      <c r="CA188" s="5">
        <f t="shared" si="298"/>
        <v>93.356006245752965</v>
      </c>
      <c r="CD188" s="580">
        <f t="shared" si="327"/>
        <v>-50</v>
      </c>
      <c r="CE188">
        <f t="shared" si="328"/>
        <v>-50</v>
      </c>
    </row>
    <row r="189" spans="5:83" x14ac:dyDescent="0.2">
      <c r="E189" s="175">
        <v>79</v>
      </c>
      <c r="F189" s="222">
        <f t="shared" si="329"/>
        <v>0.31600000000000006</v>
      </c>
      <c r="G189" s="222"/>
      <c r="H189" s="222">
        <f t="shared" si="299"/>
        <v>3.7920000000000007</v>
      </c>
      <c r="I189" s="558">
        <f t="shared" si="300"/>
        <v>21.6</v>
      </c>
      <c r="J189" s="453">
        <f t="shared" si="301"/>
        <v>24.5</v>
      </c>
      <c r="K189" s="453">
        <f t="shared" si="302"/>
        <v>46.1</v>
      </c>
      <c r="L189" s="453"/>
      <c r="M189" s="222">
        <f t="shared" si="303"/>
        <v>0.53145336225596529</v>
      </c>
      <c r="N189" s="177">
        <f t="shared" si="304"/>
        <v>7.9064316702819957</v>
      </c>
      <c r="O189" s="177">
        <f t="shared" si="244"/>
        <v>3.7920000000000007</v>
      </c>
      <c r="P189" s="222">
        <f t="shared" si="305"/>
        <v>0.65886930585683301</v>
      </c>
      <c r="Q189" s="222">
        <f t="shared" si="306"/>
        <v>12</v>
      </c>
      <c r="R189" s="222"/>
      <c r="S189" s="177">
        <f t="shared" si="307"/>
        <v>36.352878614212223</v>
      </c>
      <c r="T189" s="553">
        <f t="shared" si="308"/>
        <v>12</v>
      </c>
      <c r="U189" s="222">
        <f t="shared" si="309"/>
        <v>0.69543382265186793</v>
      </c>
      <c r="V189" s="222">
        <f t="shared" si="310"/>
        <v>2.7044648658683754</v>
      </c>
      <c r="W189" s="222">
        <f t="shared" si="311"/>
        <v>2.3843445348064045</v>
      </c>
      <c r="X189" s="202">
        <f t="shared" si="312"/>
        <v>350</v>
      </c>
      <c r="Y189" s="453">
        <f t="shared" si="279"/>
        <v>196.50961968970566</v>
      </c>
      <c r="AA189" s="222">
        <f t="shared" si="313"/>
        <v>0.39045553145336231</v>
      </c>
      <c r="AB189" s="178">
        <f t="shared" si="314"/>
        <v>1.3387046792686708</v>
      </c>
      <c r="AC189" s="178">
        <f t="shared" si="315"/>
        <v>0.18294662645103313</v>
      </c>
      <c r="AD189" s="178"/>
      <c r="AE189" s="178">
        <f t="shared" si="316"/>
        <v>0.99428571428571422</v>
      </c>
      <c r="AF189" s="562">
        <f t="shared" si="317"/>
        <v>1095.9175584621487</v>
      </c>
      <c r="AG189" s="545">
        <f t="shared" si="318"/>
        <v>0.10091999999999998</v>
      </c>
      <c r="AI189" s="178">
        <f t="shared" si="319"/>
        <v>0.51316014394468845</v>
      </c>
      <c r="AJ189" s="178">
        <f t="shared" si="320"/>
        <v>0.69543382265186793</v>
      </c>
      <c r="AK189" s="178">
        <f t="shared" si="321"/>
        <v>1.5003213501124948</v>
      </c>
      <c r="AM189" s="562">
        <f t="shared" si="322"/>
        <v>316.00000000000006</v>
      </c>
      <c r="AN189" s="471">
        <f t="shared" si="323"/>
        <v>196.50961968970566</v>
      </c>
      <c r="AP189">
        <f t="shared" si="324"/>
        <v>316.00000000000006</v>
      </c>
      <c r="AQ189">
        <f t="shared" si="325"/>
        <v>196.50961968970566</v>
      </c>
      <c r="AS189" s="5">
        <f t="shared" si="245"/>
        <v>5.0888094006747799</v>
      </c>
      <c r="AT189" s="5">
        <f t="shared" si="326"/>
        <v>2.7044648658683754</v>
      </c>
      <c r="AU189" s="5">
        <f t="shared" si="280"/>
        <v>2.3843445348064045</v>
      </c>
      <c r="AV189" s="5"/>
      <c r="AW189" s="178">
        <f t="shared" si="281"/>
        <v>0.53145336225596529</v>
      </c>
      <c r="AX189" s="178">
        <f t="shared" si="241"/>
        <v>3.9915789473684216</v>
      </c>
      <c r="AY189" s="178">
        <f t="shared" si="242"/>
        <v>0.32584317937701407</v>
      </c>
      <c r="AZ189" s="178">
        <f t="shared" si="246"/>
        <v>12.249999999999998</v>
      </c>
      <c r="BD189" s="178">
        <f t="shared" si="247"/>
        <v>0.29270339587427324</v>
      </c>
      <c r="BE189" s="178">
        <f t="shared" si="243"/>
        <v>0.54966943741269947</v>
      </c>
      <c r="BG189" s="545">
        <f t="shared" si="282"/>
        <v>2.9986347284716032E-2</v>
      </c>
      <c r="BH189" s="545">
        <f t="shared" si="283"/>
        <v>4.7249999999999993E-2</v>
      </c>
      <c r="BI189" s="545">
        <f t="shared" si="284"/>
        <v>2.4563702461213206E-3</v>
      </c>
      <c r="BJ189" s="545">
        <f t="shared" si="285"/>
        <v>2.0881210443037968E-2</v>
      </c>
      <c r="BK189">
        <f t="shared" si="286"/>
        <v>6.2640000000000005E-3</v>
      </c>
      <c r="BM189" s="471">
        <f t="shared" si="287"/>
        <v>106.83792797387531</v>
      </c>
      <c r="BN189" s="545">
        <f t="shared" si="288"/>
        <v>9.4800000000000009E-2</v>
      </c>
      <c r="BQ189" s="471">
        <f t="shared" si="289"/>
        <v>94.800000000000011</v>
      </c>
      <c r="BR189" s="545">
        <f t="shared" si="290"/>
        <v>8.1391514058514955E-3</v>
      </c>
      <c r="BS189" s="545">
        <f t="shared" si="291"/>
        <v>2.7192284138303418E-2</v>
      </c>
      <c r="BT189" s="545">
        <f t="shared" si="292"/>
        <v>1.0916139186003938E-2</v>
      </c>
      <c r="BU189" s="545"/>
      <c r="BV189" s="545">
        <f t="shared" si="293"/>
        <v>2.1383458646616546E-2</v>
      </c>
      <c r="BW189" s="471">
        <f t="shared" si="294"/>
        <v>67.631033376775392</v>
      </c>
      <c r="BX189" s="178">
        <f t="shared" si="295"/>
        <v>0.2692689613506507</v>
      </c>
      <c r="BY189" s="5">
        <f t="shared" si="296"/>
        <v>3.7920000000000007</v>
      </c>
      <c r="BZ189" s="178">
        <f t="shared" si="297"/>
        <v>0.93369831845337803</v>
      </c>
      <c r="CA189" s="5">
        <f t="shared" si="298"/>
        <v>93.369831845337799</v>
      </c>
      <c r="CD189" s="580">
        <f t="shared" si="327"/>
        <v>-50</v>
      </c>
      <c r="CE189">
        <f t="shared" si="328"/>
        <v>-50</v>
      </c>
    </row>
    <row r="190" spans="5:83" x14ac:dyDescent="0.2">
      <c r="E190" s="175">
        <v>80</v>
      </c>
      <c r="F190" s="222">
        <f t="shared" si="329"/>
        <v>0.32000000000000006</v>
      </c>
      <c r="G190" s="222"/>
      <c r="H190" s="222">
        <f t="shared" si="299"/>
        <v>3.8400000000000007</v>
      </c>
      <c r="I190" s="558">
        <f t="shared" si="300"/>
        <v>21.6</v>
      </c>
      <c r="J190" s="453">
        <f t="shared" si="301"/>
        <v>24.5</v>
      </c>
      <c r="K190" s="453">
        <f t="shared" si="302"/>
        <v>46.1</v>
      </c>
      <c r="L190" s="453"/>
      <c r="M190" s="222">
        <f t="shared" si="303"/>
        <v>0.53145336225596529</v>
      </c>
      <c r="N190" s="177">
        <f t="shared" si="304"/>
        <v>7.9064316702819957</v>
      </c>
      <c r="O190" s="177">
        <f t="shared" si="244"/>
        <v>3.8400000000000007</v>
      </c>
      <c r="P190" s="222">
        <f t="shared" si="305"/>
        <v>0.65886930585683301</v>
      </c>
      <c r="Q190" s="222">
        <f t="shared" si="306"/>
        <v>12</v>
      </c>
      <c r="R190" s="222"/>
      <c r="S190" s="177">
        <f t="shared" si="307"/>
        <v>35.765592529627021</v>
      </c>
      <c r="T190" s="553">
        <f t="shared" si="308"/>
        <v>12</v>
      </c>
      <c r="U190" s="222">
        <f t="shared" si="309"/>
        <v>0.70423678243227128</v>
      </c>
      <c r="V190" s="222">
        <f t="shared" si="310"/>
        <v>2.7386985983477214</v>
      </c>
      <c r="W190" s="222">
        <f t="shared" si="311"/>
        <v>2.4145261111963587</v>
      </c>
      <c r="X190" s="202">
        <f t="shared" si="312"/>
        <v>350</v>
      </c>
      <c r="Y190" s="453">
        <f t="shared" si="279"/>
        <v>194.05324944358438</v>
      </c>
      <c r="AA190" s="222">
        <f t="shared" si="313"/>
        <v>0.39045553145336231</v>
      </c>
      <c r="AB190" s="178">
        <f t="shared" si="314"/>
        <v>1.3387046792686708</v>
      </c>
      <c r="AC190" s="178">
        <f t="shared" si="315"/>
        <v>0.18294662645103313</v>
      </c>
      <c r="AD190" s="178"/>
      <c r="AE190" s="178">
        <f t="shared" si="316"/>
        <v>0.99428571428571422</v>
      </c>
      <c r="AF190" s="562">
        <f t="shared" si="317"/>
        <v>1109.7899326198974</v>
      </c>
      <c r="AG190" s="545">
        <f t="shared" si="318"/>
        <v>0.10091999999999998</v>
      </c>
      <c r="AI190" s="178">
        <f t="shared" si="319"/>
        <v>0.51639777949432231</v>
      </c>
      <c r="AJ190" s="178">
        <f t="shared" si="320"/>
        <v>0.70423678243227128</v>
      </c>
      <c r="AK190" s="178">
        <f t="shared" si="321"/>
        <v>1.5068420610609417</v>
      </c>
      <c r="AM190" s="562">
        <f t="shared" si="322"/>
        <v>320.00000000000006</v>
      </c>
      <c r="AN190" s="471">
        <f t="shared" si="323"/>
        <v>194.05324944358438</v>
      </c>
      <c r="AP190">
        <f t="shared" si="324"/>
        <v>320.00000000000006</v>
      </c>
      <c r="AQ190">
        <f t="shared" si="325"/>
        <v>194.05324944358438</v>
      </c>
      <c r="AS190" s="5">
        <f t="shared" si="245"/>
        <v>5.1532247095440802</v>
      </c>
      <c r="AT190" s="5">
        <f t="shared" si="326"/>
        <v>2.7386985983477214</v>
      </c>
      <c r="AU190" s="5">
        <f t="shared" si="280"/>
        <v>2.4145261111963587</v>
      </c>
      <c r="AV190" s="5"/>
      <c r="AW190" s="178">
        <f t="shared" si="281"/>
        <v>0.53145336225596529</v>
      </c>
      <c r="AX190" s="178">
        <f t="shared" si="241"/>
        <v>4.0421052631578958</v>
      </c>
      <c r="AY190" s="178">
        <f t="shared" si="242"/>
        <v>0.32996777658431797</v>
      </c>
      <c r="AZ190" s="178">
        <f t="shared" si="246"/>
        <v>12.250000000000002</v>
      </c>
      <c r="BD190" s="178">
        <f t="shared" si="247"/>
        <v>0.29640850215116277</v>
      </c>
      <c r="BE190" s="178">
        <f t="shared" si="243"/>
        <v>0.55662727839260706</v>
      </c>
      <c r="BG190" s="545">
        <f t="shared" si="282"/>
        <v>3.075030005162355E-2</v>
      </c>
      <c r="BH190" s="545">
        <f t="shared" si="283"/>
        <v>4.725E-2</v>
      </c>
      <c r="BI190" s="545">
        <f t="shared" si="284"/>
        <v>2.4256656180448046E-3</v>
      </c>
      <c r="BJ190" s="545">
        <f t="shared" si="285"/>
        <v>2.0620195312499999E-2</v>
      </c>
      <c r="BK190">
        <f t="shared" si="286"/>
        <v>6.2640000000000005E-3</v>
      </c>
      <c r="BM190" s="471">
        <f t="shared" si="287"/>
        <v>107.31016098216836</v>
      </c>
      <c r="BN190" s="545">
        <f t="shared" si="288"/>
        <v>9.6000000000000016E-2</v>
      </c>
      <c r="BQ190" s="471">
        <f t="shared" si="289"/>
        <v>96.000000000000014</v>
      </c>
      <c r="BR190" s="545">
        <f t="shared" si="290"/>
        <v>8.3465100140121071E-3</v>
      </c>
      <c r="BS190" s="545">
        <f t="shared" si="291"/>
        <v>2.7885053434568482E-2</v>
      </c>
      <c r="BT190" s="545">
        <f t="shared" si="292"/>
        <v>1.0916139186003952E-2</v>
      </c>
      <c r="BU190" s="545"/>
      <c r="BV190" s="545">
        <f t="shared" si="293"/>
        <v>2.1654135338345874E-2</v>
      </c>
      <c r="BW190" s="471">
        <f t="shared" si="294"/>
        <v>68.801837972930414</v>
      </c>
      <c r="BX190" s="178">
        <f t="shared" si="295"/>
        <v>0.27211199895509874</v>
      </c>
      <c r="BY190" s="5">
        <f t="shared" si="296"/>
        <v>3.8400000000000007</v>
      </c>
      <c r="BZ190" s="178">
        <f t="shared" si="297"/>
        <v>0.93382670534648782</v>
      </c>
      <c r="CA190" s="5">
        <f t="shared" si="298"/>
        <v>93.382670534648781</v>
      </c>
      <c r="CD190" s="580">
        <f t="shared" si="327"/>
        <v>-50</v>
      </c>
      <c r="CE190">
        <f t="shared" si="328"/>
        <v>-50</v>
      </c>
    </row>
    <row r="191" spans="5:83" x14ac:dyDescent="0.2">
      <c r="E191" s="175">
        <v>81</v>
      </c>
      <c r="F191" s="222">
        <f t="shared" si="329"/>
        <v>0.32400000000000007</v>
      </c>
      <c r="G191" s="222"/>
      <c r="H191" s="222">
        <f t="shared" si="299"/>
        <v>3.8880000000000008</v>
      </c>
      <c r="I191" s="558">
        <f t="shared" si="300"/>
        <v>21.6</v>
      </c>
      <c r="J191" s="453">
        <f t="shared" si="301"/>
        <v>24.5</v>
      </c>
      <c r="K191" s="453">
        <f t="shared" si="302"/>
        <v>46.1</v>
      </c>
      <c r="L191" s="453"/>
      <c r="M191" s="222">
        <f t="shared" si="303"/>
        <v>0.53145336225596529</v>
      </c>
      <c r="N191" s="177">
        <f t="shared" si="304"/>
        <v>7.9064316702819957</v>
      </c>
      <c r="O191" s="177">
        <f t="shared" si="244"/>
        <v>3.8880000000000008</v>
      </c>
      <c r="P191" s="222">
        <f t="shared" si="305"/>
        <v>0.65886930585683301</v>
      </c>
      <c r="Q191" s="222">
        <f t="shared" si="306"/>
        <v>12</v>
      </c>
      <c r="R191" s="222"/>
      <c r="S191" s="177">
        <f t="shared" si="307"/>
        <v>35.192845651462385</v>
      </c>
      <c r="T191" s="553">
        <f t="shared" si="308"/>
        <v>12</v>
      </c>
      <c r="U191" s="222">
        <f t="shared" si="309"/>
        <v>0.71303974221267463</v>
      </c>
      <c r="V191" s="222">
        <f t="shared" si="310"/>
        <v>2.7729323308270679</v>
      </c>
      <c r="W191" s="222">
        <f t="shared" si="311"/>
        <v>2.444707687586313</v>
      </c>
      <c r="X191" s="202">
        <f t="shared" si="312"/>
        <v>350</v>
      </c>
      <c r="Y191" s="453">
        <f t="shared" si="279"/>
        <v>191.65753031465127</v>
      </c>
      <c r="AA191" s="222">
        <f t="shared" si="313"/>
        <v>0.39045553145336231</v>
      </c>
      <c r="AB191" s="178">
        <f t="shared" si="314"/>
        <v>1.3387046792686708</v>
      </c>
      <c r="AC191" s="178">
        <f t="shared" si="315"/>
        <v>0.18294662645103313</v>
      </c>
      <c r="AD191" s="178"/>
      <c r="AE191" s="178">
        <f t="shared" si="316"/>
        <v>0.99428571428571422</v>
      </c>
      <c r="AF191" s="562">
        <f t="shared" si="317"/>
        <v>1123.6623067776461</v>
      </c>
      <c r="AG191" s="545">
        <f t="shared" si="318"/>
        <v>0.10091999999999998</v>
      </c>
      <c r="AI191" s="178">
        <f t="shared" si="319"/>
        <v>0.51961524227066325</v>
      </c>
      <c r="AJ191" s="178">
        <f t="shared" si="320"/>
        <v>0.71303974221267463</v>
      </c>
      <c r="AK191" s="178">
        <f t="shared" si="321"/>
        <v>1.5133627720093885</v>
      </c>
      <c r="AM191" s="562">
        <f t="shared" si="322"/>
        <v>324.00000000000006</v>
      </c>
      <c r="AN191" s="471">
        <f t="shared" si="323"/>
        <v>191.65753031465127</v>
      </c>
      <c r="AP191">
        <f t="shared" si="324"/>
        <v>324.00000000000006</v>
      </c>
      <c r="AQ191">
        <f t="shared" si="325"/>
        <v>191.65753031465127</v>
      </c>
      <c r="AS191" s="5">
        <f t="shared" si="245"/>
        <v>5.2176400184133804</v>
      </c>
      <c r="AT191" s="5">
        <f t="shared" si="326"/>
        <v>2.7729323308270679</v>
      </c>
      <c r="AU191" s="5">
        <f t="shared" si="280"/>
        <v>2.4447076875863125</v>
      </c>
      <c r="AV191" s="5"/>
      <c r="AW191" s="178">
        <f t="shared" si="281"/>
        <v>0.53145336225596529</v>
      </c>
      <c r="AX191" s="178">
        <f t="shared" si="241"/>
        <v>4.0926315789473691</v>
      </c>
      <c r="AY191" s="178">
        <f t="shared" si="242"/>
        <v>0.33409237379162193</v>
      </c>
      <c r="AZ191" s="178">
        <f t="shared" si="246"/>
        <v>12.250000000000002</v>
      </c>
      <c r="BD191" s="178">
        <f t="shared" si="247"/>
        <v>0.30011360842805229</v>
      </c>
      <c r="BE191" s="178">
        <f t="shared" si="243"/>
        <v>0.56358511937251454</v>
      </c>
      <c r="BG191" s="545">
        <f t="shared" si="282"/>
        <v>3.15238622872972E-2</v>
      </c>
      <c r="BH191" s="545">
        <f t="shared" si="283"/>
        <v>4.7250000000000007E-2</v>
      </c>
      <c r="BI191" s="545">
        <f t="shared" si="284"/>
        <v>2.3957191289331408E-3</v>
      </c>
      <c r="BJ191" s="545">
        <f t="shared" si="285"/>
        <v>2.0365625000000002E-2</v>
      </c>
      <c r="BK191">
        <f t="shared" si="286"/>
        <v>6.2640000000000005E-3</v>
      </c>
      <c r="BM191" s="471">
        <f t="shared" si="287"/>
        <v>107.79920641623036</v>
      </c>
      <c r="BN191" s="545">
        <f t="shared" si="288"/>
        <v>9.7200000000000022E-2</v>
      </c>
      <c r="BQ191" s="471">
        <f t="shared" si="289"/>
        <v>97.200000000000017</v>
      </c>
      <c r="BR191" s="545">
        <f t="shared" si="290"/>
        <v>8.5564769065520976E-3</v>
      </c>
      <c r="BS191" s="545">
        <f t="shared" si="291"/>
        <v>2.8586536810031832E-2</v>
      </c>
      <c r="BT191" s="545">
        <f t="shared" si="292"/>
        <v>1.0916139186003943E-2</v>
      </c>
      <c r="BU191" s="545"/>
      <c r="BV191" s="545">
        <f t="shared" si="293"/>
        <v>2.1924812030075194E-2</v>
      </c>
      <c r="BW191" s="471">
        <f t="shared" si="294"/>
        <v>69.983964932663071</v>
      </c>
      <c r="BX191" s="178">
        <f t="shared" si="295"/>
        <v>0.27498317134889344</v>
      </c>
      <c r="BY191" s="5">
        <f t="shared" si="296"/>
        <v>3.8880000000000008</v>
      </c>
      <c r="BZ191" s="178">
        <f t="shared" si="297"/>
        <v>0.93394564425784288</v>
      </c>
      <c r="CA191" s="5">
        <f t="shared" si="298"/>
        <v>93.394564425784282</v>
      </c>
      <c r="CD191" s="580">
        <f t="shared" si="327"/>
        <v>-50</v>
      </c>
      <c r="CE191">
        <f t="shared" si="328"/>
        <v>-50</v>
      </c>
    </row>
    <row r="192" spans="5:83" x14ac:dyDescent="0.2">
      <c r="E192" s="175">
        <v>82</v>
      </c>
      <c r="F192" s="222">
        <f t="shared" si="329"/>
        <v>0.32800000000000001</v>
      </c>
      <c r="G192" s="222"/>
      <c r="H192" s="222">
        <f t="shared" si="299"/>
        <v>3.9359999999999999</v>
      </c>
      <c r="I192" s="558">
        <f t="shared" si="300"/>
        <v>21.6</v>
      </c>
      <c r="J192" s="453">
        <f t="shared" si="301"/>
        <v>24.5</v>
      </c>
      <c r="K192" s="453">
        <f t="shared" si="302"/>
        <v>46.1</v>
      </c>
      <c r="L192" s="453"/>
      <c r="M192" s="222">
        <f t="shared" si="303"/>
        <v>0.53145336225596529</v>
      </c>
      <c r="N192" s="177">
        <f t="shared" si="304"/>
        <v>7.9064316702819957</v>
      </c>
      <c r="O192" s="177">
        <f t="shared" si="244"/>
        <v>3.9359999999999999</v>
      </c>
      <c r="P192" s="222">
        <f t="shared" si="305"/>
        <v>0.65886930585683301</v>
      </c>
      <c r="Q192" s="222">
        <f t="shared" si="306"/>
        <v>12</v>
      </c>
      <c r="R192" s="222"/>
      <c r="S192" s="177">
        <f t="shared" si="307"/>
        <v>34.634106461665482</v>
      </c>
      <c r="T192" s="553">
        <f t="shared" si="308"/>
        <v>12</v>
      </c>
      <c r="U192" s="222">
        <f t="shared" si="309"/>
        <v>0.72184270199307787</v>
      </c>
      <c r="V192" s="222">
        <f t="shared" si="310"/>
        <v>2.8071660633064135</v>
      </c>
      <c r="W192" s="222">
        <f t="shared" si="311"/>
        <v>2.4748892639762667</v>
      </c>
      <c r="X192" s="202">
        <f t="shared" si="312"/>
        <v>350</v>
      </c>
      <c r="Y192" s="453">
        <f t="shared" si="279"/>
        <v>189.32024335959454</v>
      </c>
      <c r="AA192" s="222">
        <f t="shared" si="313"/>
        <v>0.39045553145336231</v>
      </c>
      <c r="AB192" s="178">
        <f t="shared" si="314"/>
        <v>1.3387046792686708</v>
      </c>
      <c r="AC192" s="178">
        <f t="shared" si="315"/>
        <v>0.18294662645103313</v>
      </c>
      <c r="AD192" s="178"/>
      <c r="AE192" s="178">
        <f t="shared" si="316"/>
        <v>0.99428571428571422</v>
      </c>
      <c r="AF192" s="562">
        <f t="shared" si="317"/>
        <v>1137.5346809353948</v>
      </c>
      <c r="AG192" s="545">
        <f t="shared" si="318"/>
        <v>0.10091999999999998</v>
      </c>
      <c r="AI192" s="178">
        <f t="shared" si="319"/>
        <v>0.52281290471193742</v>
      </c>
      <c r="AJ192" s="178">
        <f t="shared" si="320"/>
        <v>0.72184270199307787</v>
      </c>
      <c r="AK192" s="178">
        <f t="shared" si="321"/>
        <v>1.5198834829578354</v>
      </c>
      <c r="AM192" s="562">
        <f t="shared" si="322"/>
        <v>328</v>
      </c>
      <c r="AN192" s="471">
        <f t="shared" si="323"/>
        <v>189.32024335959454</v>
      </c>
      <c r="AP192">
        <f t="shared" si="324"/>
        <v>328</v>
      </c>
      <c r="AQ192">
        <f t="shared" si="325"/>
        <v>189.32024335959454</v>
      </c>
      <c r="AS192" s="5">
        <f t="shared" si="245"/>
        <v>5.2820553272826807</v>
      </c>
      <c r="AT192" s="5">
        <f t="shared" si="326"/>
        <v>2.8071660633064135</v>
      </c>
      <c r="AU192" s="5">
        <f t="shared" si="280"/>
        <v>2.4748892639762672</v>
      </c>
      <c r="AV192" s="5"/>
      <c r="AW192" s="178">
        <f t="shared" si="281"/>
        <v>0.53145336225596518</v>
      </c>
      <c r="AX192" s="178">
        <f t="shared" si="241"/>
        <v>4.1431578947368406</v>
      </c>
      <c r="AY192" s="178">
        <f t="shared" si="242"/>
        <v>0.33821697099892595</v>
      </c>
      <c r="AZ192" s="178">
        <f t="shared" si="246"/>
        <v>12.249999999999993</v>
      </c>
      <c r="BD192" s="178">
        <f t="shared" si="247"/>
        <v>0.30381871470494171</v>
      </c>
      <c r="BE192" s="178">
        <f t="shared" si="243"/>
        <v>0.57054296035242213</v>
      </c>
      <c r="BG192" s="545">
        <f t="shared" si="282"/>
        <v>3.2307033991736962E-2</v>
      </c>
      <c r="BH192" s="545">
        <f t="shared" si="283"/>
        <v>4.7249999999999993E-2</v>
      </c>
      <c r="BI192" s="545">
        <f t="shared" si="284"/>
        <v>2.3665030419949317E-3</v>
      </c>
      <c r="BJ192" s="545">
        <f t="shared" si="285"/>
        <v>2.0117263719512196E-2</v>
      </c>
      <c r="BK192">
        <f t="shared" si="286"/>
        <v>6.2640000000000005E-3</v>
      </c>
      <c r="BM192" s="471">
        <f t="shared" si="287"/>
        <v>108.30480075324408</v>
      </c>
      <c r="BN192" s="545">
        <f t="shared" si="288"/>
        <v>9.8400000000000001E-2</v>
      </c>
      <c r="BQ192" s="471">
        <f t="shared" si="289"/>
        <v>98.4</v>
      </c>
      <c r="BR192" s="545">
        <f t="shared" si="290"/>
        <v>8.7690520834714618E-3</v>
      </c>
      <c r="BS192" s="545">
        <f t="shared" si="291"/>
        <v>2.9296734264693498E-2</v>
      </c>
      <c r="BT192" s="545">
        <f t="shared" si="292"/>
        <v>1.0916139186003952E-2</v>
      </c>
      <c r="BU192" s="545"/>
      <c r="BV192" s="545">
        <f t="shared" si="293"/>
        <v>2.2195488721804508E-2</v>
      </c>
      <c r="BW192" s="471">
        <f t="shared" si="294"/>
        <v>71.177414255973417</v>
      </c>
      <c r="BX192" s="178">
        <f t="shared" si="295"/>
        <v>0.2778822150092175</v>
      </c>
      <c r="BY192" s="5">
        <f t="shared" si="296"/>
        <v>3.9359999999999999</v>
      </c>
      <c r="BZ192" s="178">
        <f t="shared" si="297"/>
        <v>0.93405553339401781</v>
      </c>
      <c r="CA192" s="5">
        <f t="shared" si="298"/>
        <v>93.405553339401777</v>
      </c>
      <c r="CD192" s="580">
        <f t="shared" si="327"/>
        <v>-50</v>
      </c>
      <c r="CE192">
        <f t="shared" si="328"/>
        <v>-50</v>
      </c>
    </row>
    <row r="193" spans="5:83" x14ac:dyDescent="0.2">
      <c r="E193" s="175">
        <v>83</v>
      </c>
      <c r="F193" s="222">
        <f t="shared" si="329"/>
        <v>0.33200000000000002</v>
      </c>
      <c r="G193" s="222"/>
      <c r="H193" s="222">
        <f t="shared" si="299"/>
        <v>3.984</v>
      </c>
      <c r="I193" s="558">
        <f t="shared" si="300"/>
        <v>21.6</v>
      </c>
      <c r="J193" s="453">
        <f t="shared" si="301"/>
        <v>24.5</v>
      </c>
      <c r="K193" s="453">
        <f t="shared" si="302"/>
        <v>46.1</v>
      </c>
      <c r="L193" s="453"/>
      <c r="M193" s="222">
        <f t="shared" si="303"/>
        <v>0.53145336225596529</v>
      </c>
      <c r="N193" s="177">
        <f t="shared" si="304"/>
        <v>7.9064316702819957</v>
      </c>
      <c r="O193" s="177">
        <f t="shared" si="244"/>
        <v>3.984</v>
      </c>
      <c r="P193" s="222">
        <f t="shared" si="305"/>
        <v>0.65886930585683301</v>
      </c>
      <c r="Q193" s="222">
        <f t="shared" si="306"/>
        <v>12</v>
      </c>
      <c r="R193" s="222"/>
      <c r="S193" s="177">
        <f t="shared" si="307"/>
        <v>34.08886906296518</v>
      </c>
      <c r="T193" s="553">
        <f t="shared" si="308"/>
        <v>12</v>
      </c>
      <c r="U193" s="222">
        <f t="shared" si="309"/>
        <v>0.73064566177348134</v>
      </c>
      <c r="V193" s="222">
        <f t="shared" si="310"/>
        <v>2.8413997957857604</v>
      </c>
      <c r="W193" s="222">
        <f t="shared" si="311"/>
        <v>2.5050708403662214</v>
      </c>
      <c r="X193" s="202">
        <f t="shared" si="312"/>
        <v>350</v>
      </c>
      <c r="Y193" s="453">
        <f t="shared" si="279"/>
        <v>187.03927657212958</v>
      </c>
      <c r="AA193" s="222">
        <f t="shared" si="313"/>
        <v>0.39045553145336231</v>
      </c>
      <c r="AB193" s="178">
        <f t="shared" si="314"/>
        <v>1.3387046792686708</v>
      </c>
      <c r="AC193" s="178">
        <f t="shared" si="315"/>
        <v>0.18294662645103313</v>
      </c>
      <c r="AD193" s="178"/>
      <c r="AE193" s="178">
        <f t="shared" si="316"/>
        <v>0.99428571428571422</v>
      </c>
      <c r="AF193" s="562">
        <f t="shared" si="317"/>
        <v>1151.4070550931433</v>
      </c>
      <c r="AG193" s="545">
        <f t="shared" si="318"/>
        <v>0.10091999999999998</v>
      </c>
      <c r="AI193" s="178">
        <f t="shared" si="319"/>
        <v>0.52599112793531666</v>
      </c>
      <c r="AJ193" s="178">
        <f t="shared" si="320"/>
        <v>0.73064566177348134</v>
      </c>
      <c r="AK193" s="178">
        <f t="shared" si="321"/>
        <v>1.5264041939062825</v>
      </c>
      <c r="AM193" s="562">
        <f t="shared" si="322"/>
        <v>332</v>
      </c>
      <c r="AN193" s="471">
        <f t="shared" si="323"/>
        <v>187.03927657212958</v>
      </c>
      <c r="AP193">
        <f t="shared" si="324"/>
        <v>332</v>
      </c>
      <c r="AQ193">
        <f t="shared" si="325"/>
        <v>187.03927657212958</v>
      </c>
      <c r="AS193" s="5">
        <f t="shared" si="245"/>
        <v>5.3464706361519818</v>
      </c>
      <c r="AT193" s="5">
        <f t="shared" si="326"/>
        <v>2.8413997957857604</v>
      </c>
      <c r="AU193" s="5">
        <f t="shared" si="280"/>
        <v>2.5050708403662214</v>
      </c>
      <c r="AV193" s="5"/>
      <c r="AW193" s="178">
        <f t="shared" si="281"/>
        <v>0.53145336225596529</v>
      </c>
      <c r="AX193" s="178">
        <f t="shared" si="241"/>
        <v>4.1936842105263166</v>
      </c>
      <c r="AY193" s="178">
        <f t="shared" si="242"/>
        <v>0.34234156820622985</v>
      </c>
      <c r="AZ193" s="178">
        <f t="shared" si="246"/>
        <v>12.250000000000002</v>
      </c>
      <c r="BD193" s="178">
        <f t="shared" si="247"/>
        <v>0.30752382098183129</v>
      </c>
      <c r="BE193" s="178">
        <f t="shared" si="243"/>
        <v>0.57750080133232973</v>
      </c>
      <c r="BG193" s="545">
        <f t="shared" si="282"/>
        <v>3.309981516494289E-2</v>
      </c>
      <c r="BH193" s="545">
        <f t="shared" si="283"/>
        <v>4.725E-2</v>
      </c>
      <c r="BI193" s="545">
        <f t="shared" si="284"/>
        <v>2.33799095715162E-3</v>
      </c>
      <c r="BJ193" s="545">
        <f t="shared" si="285"/>
        <v>1.9874887048192777E-2</v>
      </c>
      <c r="BK193">
        <f t="shared" si="286"/>
        <v>6.2640000000000005E-3</v>
      </c>
      <c r="BM193" s="471">
        <f t="shared" si="287"/>
        <v>108.82669317028729</v>
      </c>
      <c r="BN193" s="545">
        <f t="shared" si="288"/>
        <v>9.9600000000000008E-2</v>
      </c>
      <c r="BQ193" s="471">
        <f t="shared" si="289"/>
        <v>99.600000000000009</v>
      </c>
      <c r="BR193" s="545">
        <f t="shared" si="290"/>
        <v>8.9842355447702152E-3</v>
      </c>
      <c r="BS193" s="545">
        <f t="shared" si="291"/>
        <v>3.0015645798553463E-2</v>
      </c>
      <c r="BT193" s="545">
        <f t="shared" si="292"/>
        <v>1.0916139186003938E-2</v>
      </c>
      <c r="BU193" s="545"/>
      <c r="BV193" s="545">
        <f t="shared" si="293"/>
        <v>2.2466165413533839E-2</v>
      </c>
      <c r="BW193" s="471">
        <f t="shared" si="294"/>
        <v>72.382185942861454</v>
      </c>
      <c r="BX193" s="178">
        <f t="shared" si="295"/>
        <v>0.28080887911314872</v>
      </c>
      <c r="BY193" s="5">
        <f t="shared" si="296"/>
        <v>3.984</v>
      </c>
      <c r="BZ193" s="178">
        <f t="shared" si="297"/>
        <v>0.93415674955836658</v>
      </c>
      <c r="CA193" s="5">
        <f t="shared" si="298"/>
        <v>93.415674955836664</v>
      </c>
      <c r="CD193" s="580">
        <f t="shared" si="327"/>
        <v>-50</v>
      </c>
      <c r="CE193">
        <f t="shared" si="328"/>
        <v>-50</v>
      </c>
    </row>
    <row r="194" spans="5:83" x14ac:dyDescent="0.2">
      <c r="E194" s="175">
        <v>84</v>
      </c>
      <c r="F194" s="222">
        <f t="shared" si="329"/>
        <v>0.33600000000000002</v>
      </c>
      <c r="G194" s="222"/>
      <c r="H194" s="222">
        <f t="shared" si="299"/>
        <v>4.032</v>
      </c>
      <c r="I194" s="558">
        <f t="shared" si="300"/>
        <v>21.6</v>
      </c>
      <c r="J194" s="453">
        <f t="shared" si="301"/>
        <v>24.5</v>
      </c>
      <c r="K194" s="453">
        <f t="shared" si="302"/>
        <v>46.1</v>
      </c>
      <c r="L194" s="453"/>
      <c r="M194" s="222">
        <f t="shared" si="303"/>
        <v>0.53145336225596529</v>
      </c>
      <c r="N194" s="177">
        <f t="shared" si="304"/>
        <v>7.9064316702819957</v>
      </c>
      <c r="O194" s="177">
        <f t="shared" si="244"/>
        <v>4.032</v>
      </c>
      <c r="P194" s="222">
        <f t="shared" si="305"/>
        <v>0.65886930585683301</v>
      </c>
      <c r="Q194" s="222">
        <f t="shared" si="306"/>
        <v>12</v>
      </c>
      <c r="R194" s="222"/>
      <c r="S194" s="177">
        <f t="shared" si="307"/>
        <v>33.556651653913228</v>
      </c>
      <c r="T194" s="553">
        <f t="shared" si="308"/>
        <v>12</v>
      </c>
      <c r="U194" s="222">
        <f t="shared" si="309"/>
        <v>0.73944862155388469</v>
      </c>
      <c r="V194" s="222">
        <f t="shared" si="310"/>
        <v>2.8756335282651064</v>
      </c>
      <c r="W194" s="222">
        <f t="shared" si="311"/>
        <v>2.5352524167561756</v>
      </c>
      <c r="X194" s="202">
        <f t="shared" si="312"/>
        <v>350</v>
      </c>
      <c r="Y194" s="453">
        <f t="shared" si="279"/>
        <v>184.81261851769949</v>
      </c>
      <c r="AA194" s="222">
        <f t="shared" si="313"/>
        <v>0.39045553145336231</v>
      </c>
      <c r="AB194" s="178">
        <f t="shared" si="314"/>
        <v>1.3387046792686708</v>
      </c>
      <c r="AC194" s="178">
        <f t="shared" si="315"/>
        <v>0.18294662645103313</v>
      </c>
      <c r="AD194" s="178"/>
      <c r="AE194" s="178">
        <f t="shared" si="316"/>
        <v>0.99428571428571422</v>
      </c>
      <c r="AF194" s="562">
        <f t="shared" si="317"/>
        <v>1165.2794292508922</v>
      </c>
      <c r="AG194" s="545">
        <f t="shared" si="318"/>
        <v>0.10091999999999998</v>
      </c>
      <c r="AI194" s="178">
        <f t="shared" si="319"/>
        <v>0.52915026221291817</v>
      </c>
      <c r="AJ194" s="178">
        <f t="shared" si="320"/>
        <v>0.73944862155388469</v>
      </c>
      <c r="AK194" s="178">
        <f t="shared" si="321"/>
        <v>1.5329249048547293</v>
      </c>
      <c r="AM194" s="562">
        <f t="shared" si="322"/>
        <v>336</v>
      </c>
      <c r="AN194" s="471">
        <f t="shared" si="323"/>
        <v>184.81261851769949</v>
      </c>
      <c r="AP194">
        <f t="shared" si="324"/>
        <v>336</v>
      </c>
      <c r="AQ194">
        <f t="shared" si="325"/>
        <v>184.81261851769949</v>
      </c>
      <c r="AS194" s="5">
        <f t="shared" si="245"/>
        <v>5.4108859450212812</v>
      </c>
      <c r="AT194" s="5">
        <f t="shared" si="326"/>
        <v>2.8756335282651064</v>
      </c>
      <c r="AU194" s="5">
        <f t="shared" si="280"/>
        <v>2.5352524167561747</v>
      </c>
      <c r="AV194" s="5"/>
      <c r="AW194" s="178">
        <f t="shared" si="281"/>
        <v>0.5314533622559654</v>
      </c>
      <c r="AX194" s="178">
        <f t="shared" si="241"/>
        <v>4.2442105263157917</v>
      </c>
      <c r="AY194" s="178">
        <f t="shared" si="242"/>
        <v>0.34646616541353376</v>
      </c>
      <c r="AZ194" s="178">
        <f t="shared" si="246"/>
        <v>12.250000000000009</v>
      </c>
      <c r="BD194" s="178">
        <f t="shared" si="247"/>
        <v>0.31122892725872087</v>
      </c>
      <c r="BE194" s="178">
        <f t="shared" si="243"/>
        <v>0.58445864231223721</v>
      </c>
      <c r="BG194" s="545">
        <f t="shared" si="282"/>
        <v>3.3902205806914956E-2</v>
      </c>
      <c r="BH194" s="545">
        <f t="shared" si="283"/>
        <v>4.7250000000000007E-2</v>
      </c>
      <c r="BI194" s="545">
        <f t="shared" si="284"/>
        <v>2.3101577314712436E-3</v>
      </c>
      <c r="BJ194" s="545">
        <f t="shared" si="285"/>
        <v>1.9638281250000007E-2</v>
      </c>
      <c r="BK194">
        <f t="shared" si="286"/>
        <v>6.2640000000000005E-3</v>
      </c>
      <c r="BM194" s="471">
        <f t="shared" si="287"/>
        <v>109.36464478838622</v>
      </c>
      <c r="BN194" s="545">
        <f t="shared" si="288"/>
        <v>0.1008</v>
      </c>
      <c r="BQ194" s="471">
        <f t="shared" si="289"/>
        <v>100.8</v>
      </c>
      <c r="BR194" s="545">
        <f t="shared" si="290"/>
        <v>9.2020272904483457E-3</v>
      </c>
      <c r="BS194" s="545">
        <f t="shared" si="291"/>
        <v>3.0743271411611723E-2</v>
      </c>
      <c r="BT194" s="545">
        <f t="shared" si="292"/>
        <v>1.0916139186003961E-2</v>
      </c>
      <c r="BU194" s="545"/>
      <c r="BV194" s="545">
        <f t="shared" si="293"/>
        <v>2.2736842105263166E-2</v>
      </c>
      <c r="BW194" s="471">
        <f t="shared" si="294"/>
        <v>73.598279993327182</v>
      </c>
      <c r="BX194" s="178">
        <f t="shared" si="295"/>
        <v>0.28376292478171339</v>
      </c>
      <c r="BY194" s="5">
        <f t="shared" si="296"/>
        <v>4.032</v>
      </c>
      <c r="BZ194" s="178">
        <f t="shared" si="297"/>
        <v>0.93424964954578316</v>
      </c>
      <c r="CA194" s="5">
        <f t="shared" si="298"/>
        <v>93.424964954578314</v>
      </c>
      <c r="CD194" s="580">
        <f t="shared" si="327"/>
        <v>-50</v>
      </c>
      <c r="CE194">
        <f t="shared" si="328"/>
        <v>-50</v>
      </c>
    </row>
    <row r="195" spans="5:83" x14ac:dyDescent="0.2">
      <c r="E195" s="175">
        <v>85</v>
      </c>
      <c r="F195" s="222">
        <f t="shared" si="329"/>
        <v>0.34</v>
      </c>
      <c r="G195" s="222"/>
      <c r="H195" s="222">
        <f t="shared" si="299"/>
        <v>4.08</v>
      </c>
      <c r="I195" s="558">
        <f t="shared" si="300"/>
        <v>21.6</v>
      </c>
      <c r="J195" s="453">
        <f t="shared" si="301"/>
        <v>24.5</v>
      </c>
      <c r="K195" s="453">
        <f t="shared" si="302"/>
        <v>46.1</v>
      </c>
      <c r="L195" s="453"/>
      <c r="M195" s="222">
        <f t="shared" si="303"/>
        <v>0.53145336225596529</v>
      </c>
      <c r="N195" s="177">
        <f t="shared" si="304"/>
        <v>7.9064316702819957</v>
      </c>
      <c r="O195" s="177">
        <f t="shared" si="244"/>
        <v>4.08</v>
      </c>
      <c r="P195" s="222">
        <f t="shared" si="305"/>
        <v>0.65886930585683301</v>
      </c>
      <c r="Q195" s="222">
        <f t="shared" si="306"/>
        <v>12</v>
      </c>
      <c r="R195" s="222"/>
      <c r="S195" s="177">
        <f t="shared" si="307"/>
        <v>33.036995111571088</v>
      </c>
      <c r="T195" s="553">
        <f t="shared" si="308"/>
        <v>12</v>
      </c>
      <c r="U195" s="222">
        <f t="shared" si="309"/>
        <v>0.74825158133428815</v>
      </c>
      <c r="V195" s="222">
        <f t="shared" si="310"/>
        <v>2.9098672607444533</v>
      </c>
      <c r="W195" s="222">
        <f t="shared" si="311"/>
        <v>2.5654339931461312</v>
      </c>
      <c r="X195" s="202">
        <f t="shared" si="312"/>
        <v>350</v>
      </c>
      <c r="Y195" s="453">
        <f t="shared" si="279"/>
        <v>182.63835241749118</v>
      </c>
      <c r="AA195" s="222">
        <f t="shared" si="313"/>
        <v>0.39045553145336231</v>
      </c>
      <c r="AB195" s="178">
        <f t="shared" si="314"/>
        <v>1.3387046792686708</v>
      </c>
      <c r="AC195" s="178">
        <f t="shared" si="315"/>
        <v>0.18294662645103313</v>
      </c>
      <c r="AD195" s="178"/>
      <c r="AE195" s="178">
        <f t="shared" si="316"/>
        <v>0.99428571428571422</v>
      </c>
      <c r="AF195" s="562">
        <f t="shared" si="317"/>
        <v>1179.1518034086409</v>
      </c>
      <c r="AG195" s="545">
        <f t="shared" si="318"/>
        <v>0.10091999999999998</v>
      </c>
      <c r="AI195" s="178">
        <f t="shared" si="319"/>
        <v>0.53229064742237708</v>
      </c>
      <c r="AJ195" s="178">
        <f t="shared" si="320"/>
        <v>0.74825158133428815</v>
      </c>
      <c r="AK195" s="178">
        <f t="shared" si="321"/>
        <v>1.5394456158031764</v>
      </c>
      <c r="AM195" s="562">
        <f t="shared" si="322"/>
        <v>340</v>
      </c>
      <c r="AN195" s="471">
        <f t="shared" si="323"/>
        <v>182.63835241749118</v>
      </c>
      <c r="AP195">
        <f t="shared" si="324"/>
        <v>340</v>
      </c>
      <c r="AQ195">
        <f t="shared" si="325"/>
        <v>182.63835241749118</v>
      </c>
      <c r="AS195" s="5">
        <f t="shared" si="245"/>
        <v>5.475301253890585</v>
      </c>
      <c r="AT195" s="5">
        <f t="shared" si="326"/>
        <v>2.9098672607444533</v>
      </c>
      <c r="AU195" s="5">
        <f t="shared" si="280"/>
        <v>2.5654339931461316</v>
      </c>
      <c r="AV195" s="5"/>
      <c r="AW195" s="178">
        <f t="shared" si="281"/>
        <v>0.53145336225596518</v>
      </c>
      <c r="AX195" s="178">
        <f t="shared" si="241"/>
        <v>4.2947368421052623</v>
      </c>
      <c r="AY195" s="178">
        <f t="shared" si="242"/>
        <v>0.35059076262083794</v>
      </c>
      <c r="AZ195" s="178">
        <f t="shared" si="246"/>
        <v>12.249999999999993</v>
      </c>
      <c r="BD195" s="178">
        <f t="shared" si="247"/>
        <v>0.31493403353561034</v>
      </c>
      <c r="BE195" s="178">
        <f t="shared" si="243"/>
        <v>0.59141648329214502</v>
      </c>
      <c r="BG195" s="545">
        <f t="shared" si="282"/>
        <v>3.4714205917653125E-2</v>
      </c>
      <c r="BH195" s="545">
        <f t="shared" si="283"/>
        <v>4.7249999999999993E-2</v>
      </c>
      <c r="BI195" s="545">
        <f t="shared" si="284"/>
        <v>2.2829794052186395E-3</v>
      </c>
      <c r="BJ195" s="545">
        <f t="shared" si="285"/>
        <v>1.9407242647058821E-2</v>
      </c>
      <c r="BK195">
        <f t="shared" si="286"/>
        <v>6.2640000000000005E-3</v>
      </c>
      <c r="BM195" s="471">
        <f t="shared" si="287"/>
        <v>109.91842796993058</v>
      </c>
      <c r="BN195" s="545">
        <f t="shared" si="288"/>
        <v>0.10200000000000001</v>
      </c>
      <c r="BQ195" s="471">
        <f t="shared" si="289"/>
        <v>102.00000000000001</v>
      </c>
      <c r="BR195" s="545">
        <f t="shared" si="290"/>
        <v>9.4224273205058499E-3</v>
      </c>
      <c r="BS195" s="545">
        <f t="shared" si="291"/>
        <v>3.1479611103868321E-2</v>
      </c>
      <c r="BT195" s="545">
        <f t="shared" si="292"/>
        <v>1.0916139186003941E-2</v>
      </c>
      <c r="BU195" s="545"/>
      <c r="BV195" s="545">
        <f t="shared" si="293"/>
        <v>2.3007518796992484E-2</v>
      </c>
      <c r="BW195" s="471">
        <f t="shared" si="294"/>
        <v>74.825696407370586</v>
      </c>
      <c r="BX195" s="178">
        <f t="shared" si="295"/>
        <v>0.28674412437730118</v>
      </c>
      <c r="BY195" s="5">
        <f t="shared" si="296"/>
        <v>4.08</v>
      </c>
      <c r="BZ195" s="178">
        <f t="shared" si="297"/>
        <v>0.9343345714312512</v>
      </c>
      <c r="CA195" s="5">
        <f t="shared" si="298"/>
        <v>93.433457143125125</v>
      </c>
      <c r="CD195" s="580">
        <f t="shared" si="327"/>
        <v>-50</v>
      </c>
      <c r="CE195">
        <f t="shared" si="328"/>
        <v>-50</v>
      </c>
    </row>
    <row r="196" spans="5:83" x14ac:dyDescent="0.2">
      <c r="E196" s="175">
        <v>86</v>
      </c>
      <c r="F196" s="222">
        <f t="shared" si="329"/>
        <v>0.34400000000000003</v>
      </c>
      <c r="G196" s="222"/>
      <c r="H196" s="222">
        <f t="shared" si="299"/>
        <v>4.1280000000000001</v>
      </c>
      <c r="I196" s="558">
        <f t="shared" si="300"/>
        <v>21.6</v>
      </c>
      <c r="J196" s="453">
        <f t="shared" si="301"/>
        <v>24.5</v>
      </c>
      <c r="K196" s="453">
        <f t="shared" si="302"/>
        <v>46.1</v>
      </c>
      <c r="L196" s="453"/>
      <c r="M196" s="222">
        <f t="shared" si="303"/>
        <v>0.53145336225596529</v>
      </c>
      <c r="N196" s="177">
        <f t="shared" si="304"/>
        <v>7.9064316702819957</v>
      </c>
      <c r="O196" s="177">
        <f t="shared" si="244"/>
        <v>4.1280000000000001</v>
      </c>
      <c r="P196" s="222">
        <f t="shared" si="305"/>
        <v>0.65886930585683301</v>
      </c>
      <c r="Q196" s="222">
        <f t="shared" si="306"/>
        <v>12</v>
      </c>
      <c r="R196" s="222"/>
      <c r="S196" s="177">
        <f t="shared" si="307"/>
        <v>32.529461673080746</v>
      </c>
      <c r="T196" s="553">
        <f t="shared" si="308"/>
        <v>12</v>
      </c>
      <c r="U196" s="222">
        <f t="shared" si="309"/>
        <v>0.7570545411146915</v>
      </c>
      <c r="V196" s="222">
        <f t="shared" si="310"/>
        <v>2.9441009932238003</v>
      </c>
      <c r="W196" s="222">
        <f t="shared" si="311"/>
        <v>2.5956155695360854</v>
      </c>
      <c r="X196" s="202">
        <f t="shared" si="312"/>
        <v>350</v>
      </c>
      <c r="Y196" s="453">
        <f t="shared" si="279"/>
        <v>180.51465064519479</v>
      </c>
      <c r="AA196" s="222">
        <f t="shared" si="313"/>
        <v>0.39045553145336231</v>
      </c>
      <c r="AB196" s="178">
        <f t="shared" si="314"/>
        <v>1.3387046792686708</v>
      </c>
      <c r="AC196" s="178">
        <f t="shared" si="315"/>
        <v>0.18294662645103313</v>
      </c>
      <c r="AD196" s="178"/>
      <c r="AE196" s="178">
        <f t="shared" si="316"/>
        <v>0.99428571428571422</v>
      </c>
      <c r="AF196" s="562">
        <f t="shared" si="317"/>
        <v>1193.0241775663897</v>
      </c>
      <c r="AG196" s="545">
        <f t="shared" si="318"/>
        <v>0.10091999999999998</v>
      </c>
      <c r="AI196" s="178">
        <f t="shared" si="319"/>
        <v>0.53541261347363367</v>
      </c>
      <c r="AJ196" s="178">
        <f t="shared" si="320"/>
        <v>0.7570545411146915</v>
      </c>
      <c r="AK196" s="178">
        <f t="shared" si="321"/>
        <v>1.5459663267516233</v>
      </c>
      <c r="AM196" s="562">
        <f t="shared" si="322"/>
        <v>344</v>
      </c>
      <c r="AN196" s="471">
        <f t="shared" si="323"/>
        <v>180.51465064519479</v>
      </c>
      <c r="AP196">
        <f t="shared" si="324"/>
        <v>344</v>
      </c>
      <c r="AQ196">
        <f t="shared" si="325"/>
        <v>180.51465064519479</v>
      </c>
      <c r="AS196" s="5">
        <f t="shared" si="245"/>
        <v>5.5397165627598852</v>
      </c>
      <c r="AT196" s="5">
        <f t="shared" si="326"/>
        <v>2.9441009932238003</v>
      </c>
      <c r="AU196" s="5">
        <f t="shared" si="280"/>
        <v>2.595615569536085</v>
      </c>
      <c r="AV196" s="5"/>
      <c r="AW196" s="178">
        <f t="shared" si="281"/>
        <v>0.53145336225596529</v>
      </c>
      <c r="AX196" s="178">
        <f t="shared" si="241"/>
        <v>4.3452631578947374</v>
      </c>
      <c r="AY196" s="178">
        <f t="shared" si="242"/>
        <v>0.35471535982814179</v>
      </c>
      <c r="AZ196" s="178">
        <f t="shared" si="246"/>
        <v>12.250000000000002</v>
      </c>
      <c r="BD196" s="178">
        <f t="shared" si="247"/>
        <v>0.31863913981249992</v>
      </c>
      <c r="BE196" s="178">
        <f t="shared" si="243"/>
        <v>0.5983743242720525</v>
      </c>
      <c r="BG196" s="545">
        <f t="shared" si="282"/>
        <v>3.5535815497157452E-2</v>
      </c>
      <c r="BH196" s="545">
        <f t="shared" si="283"/>
        <v>4.7249999999999993E-2</v>
      </c>
      <c r="BI196" s="545">
        <f t="shared" si="284"/>
        <v>2.2564331330649349E-3</v>
      </c>
      <c r="BJ196" s="545">
        <f t="shared" si="285"/>
        <v>1.9181577034883719E-2</v>
      </c>
      <c r="BK196">
        <f t="shared" si="286"/>
        <v>6.2640000000000005E-3</v>
      </c>
      <c r="BM196" s="471">
        <f t="shared" si="287"/>
        <v>110.4878256651061</v>
      </c>
      <c r="BN196" s="545">
        <f t="shared" si="288"/>
        <v>0.1032</v>
      </c>
      <c r="BQ196" s="471">
        <f t="shared" si="289"/>
        <v>103.2</v>
      </c>
      <c r="BR196" s="545">
        <f t="shared" si="290"/>
        <v>9.6454356349427381E-3</v>
      </c>
      <c r="BS196" s="545">
        <f t="shared" si="291"/>
        <v>3.2224664875323189E-2</v>
      </c>
      <c r="BT196" s="545">
        <f t="shared" si="292"/>
        <v>1.091613918600394E-2</v>
      </c>
      <c r="BU196" s="545"/>
      <c r="BV196" s="545">
        <f t="shared" si="293"/>
        <v>2.3278195488721808E-2</v>
      </c>
      <c r="BW196" s="471">
        <f t="shared" si="294"/>
        <v>76.06443518499168</v>
      </c>
      <c r="BX196" s="178">
        <f t="shared" si="295"/>
        <v>0.28975226085009775</v>
      </c>
      <c r="BY196" s="5">
        <f t="shared" si="296"/>
        <v>4.1280000000000001</v>
      </c>
      <c r="BZ196" s="178">
        <f t="shared" si="297"/>
        <v>0.93441183576139653</v>
      </c>
      <c r="CA196" s="5">
        <f t="shared" si="298"/>
        <v>93.44118357613965</v>
      </c>
      <c r="CD196" s="580">
        <f t="shared" si="327"/>
        <v>-50</v>
      </c>
      <c r="CE196">
        <f t="shared" si="328"/>
        <v>-50</v>
      </c>
    </row>
    <row r="197" spans="5:83" x14ac:dyDescent="0.2">
      <c r="E197" s="175">
        <v>87</v>
      </c>
      <c r="F197" s="222">
        <f t="shared" si="329"/>
        <v>0.34800000000000003</v>
      </c>
      <c r="G197" s="222"/>
      <c r="H197" s="222">
        <f t="shared" si="299"/>
        <v>4.1760000000000002</v>
      </c>
      <c r="I197" s="558">
        <f t="shared" si="300"/>
        <v>21.6</v>
      </c>
      <c r="J197" s="453">
        <f t="shared" si="301"/>
        <v>24.5</v>
      </c>
      <c r="K197" s="453">
        <f t="shared" si="302"/>
        <v>46.1</v>
      </c>
      <c r="L197" s="453"/>
      <c r="M197" s="222">
        <f t="shared" si="303"/>
        <v>0.53145336225596529</v>
      </c>
      <c r="N197" s="177">
        <f t="shared" si="304"/>
        <v>7.9064316702819957</v>
      </c>
      <c r="O197" s="177">
        <f t="shared" si="244"/>
        <v>4.1760000000000002</v>
      </c>
      <c r="P197" s="222">
        <f t="shared" si="305"/>
        <v>0.65886930585683301</v>
      </c>
      <c r="Q197" s="222">
        <f t="shared" si="306"/>
        <v>12</v>
      </c>
      <c r="R197" s="222"/>
      <c r="S197" s="177">
        <f t="shared" si="307"/>
        <v>32.033633708163315</v>
      </c>
      <c r="T197" s="553">
        <f t="shared" si="308"/>
        <v>12</v>
      </c>
      <c r="U197" s="222">
        <f t="shared" si="309"/>
        <v>0.76585750089509486</v>
      </c>
      <c r="V197" s="222">
        <f t="shared" si="310"/>
        <v>2.9783347257031463</v>
      </c>
      <c r="W197" s="222">
        <f t="shared" si="311"/>
        <v>2.6257971459260396</v>
      </c>
      <c r="X197" s="202">
        <f t="shared" si="312"/>
        <v>350</v>
      </c>
      <c r="Y197" s="453">
        <f t="shared" si="279"/>
        <v>178.43976960329601</v>
      </c>
      <c r="AA197" s="222">
        <f t="shared" si="313"/>
        <v>0.39045553145336231</v>
      </c>
      <c r="AB197" s="178">
        <f t="shared" si="314"/>
        <v>1.3387046792686708</v>
      </c>
      <c r="AC197" s="178">
        <f t="shared" si="315"/>
        <v>0.18294662645103313</v>
      </c>
      <c r="AD197" s="178"/>
      <c r="AE197" s="178">
        <f t="shared" si="316"/>
        <v>0.99428571428571422</v>
      </c>
      <c r="AF197" s="562">
        <f t="shared" si="317"/>
        <v>1206.8965517241384</v>
      </c>
      <c r="AG197" s="545">
        <f t="shared" si="318"/>
        <v>0.10091999999999998</v>
      </c>
      <c r="AI197" s="178">
        <f t="shared" si="319"/>
        <v>0.53851648071345048</v>
      </c>
      <c r="AJ197" s="178">
        <f t="shared" si="320"/>
        <v>0.76585750089509486</v>
      </c>
      <c r="AK197" s="178">
        <f t="shared" si="321"/>
        <v>1.5524870377000703</v>
      </c>
      <c r="AM197" s="562">
        <f t="shared" si="322"/>
        <v>348.00000000000006</v>
      </c>
      <c r="AN197" s="471">
        <f t="shared" si="323"/>
        <v>178.43976960329601</v>
      </c>
      <c r="AP197">
        <f t="shared" si="324"/>
        <v>348.00000000000006</v>
      </c>
      <c r="AQ197">
        <f t="shared" si="325"/>
        <v>178.43976960329601</v>
      </c>
      <c r="AS197" s="5">
        <f t="shared" si="245"/>
        <v>5.6041318716291855</v>
      </c>
      <c r="AT197" s="5">
        <f t="shared" si="326"/>
        <v>2.9783347257031463</v>
      </c>
      <c r="AU197" s="5">
        <f t="shared" si="280"/>
        <v>2.6257971459260392</v>
      </c>
      <c r="AV197" s="5"/>
      <c r="AW197" s="178">
        <f t="shared" si="281"/>
        <v>0.53145336225596529</v>
      </c>
      <c r="AX197" s="178">
        <f t="shared" ref="AX197:AX210" si="330">0.5*L*AJ197^2*AN197*1000</f>
        <v>4.3957894736842107</v>
      </c>
      <c r="AY197" s="178">
        <f t="shared" ref="AY197:AY210" si="331">AJ197*Nps/2*(1-AW197)</f>
        <v>0.35883995703544574</v>
      </c>
      <c r="AZ197" s="178">
        <f t="shared" si="246"/>
        <v>12.250000000000002</v>
      </c>
      <c r="BD197" s="178">
        <f t="shared" si="247"/>
        <v>0.32234424608938944</v>
      </c>
      <c r="BE197" s="178">
        <f t="shared" ref="BE197:BE210" si="332">AJ197*Nps*SQRT((1-AW197)/3)</f>
        <v>0.60533216525195999</v>
      </c>
      <c r="BG197" s="545">
        <f t="shared" si="282"/>
        <v>3.6367034545427904E-2</v>
      </c>
      <c r="BH197" s="545">
        <f t="shared" si="283"/>
        <v>4.7249999999999993E-2</v>
      </c>
      <c r="BI197" s="545">
        <f t="shared" si="284"/>
        <v>2.2304971200411998E-3</v>
      </c>
      <c r="BJ197" s="545">
        <f t="shared" si="285"/>
        <v>1.8961099137931037E-2</v>
      </c>
      <c r="BK197">
        <f t="shared" si="286"/>
        <v>6.2640000000000005E-3</v>
      </c>
      <c r="BM197" s="471">
        <f t="shared" si="287"/>
        <v>111.07263080340014</v>
      </c>
      <c r="BN197" s="545">
        <f t="shared" si="288"/>
        <v>0.10440000000000001</v>
      </c>
      <c r="BQ197" s="471">
        <f t="shared" si="289"/>
        <v>104.4</v>
      </c>
      <c r="BR197" s="545">
        <f t="shared" si="290"/>
        <v>9.8710522337590017E-3</v>
      </c>
      <c r="BS197" s="545">
        <f t="shared" si="291"/>
        <v>3.297843272597635E-2</v>
      </c>
      <c r="BT197" s="545">
        <f t="shared" si="292"/>
        <v>1.0916139186003947E-2</v>
      </c>
      <c r="BU197" s="545"/>
      <c r="BV197" s="545">
        <f t="shared" si="293"/>
        <v>2.3548872180451128E-2</v>
      </c>
      <c r="BW197" s="471">
        <f t="shared" si="294"/>
        <v>77.314496326190437</v>
      </c>
      <c r="BX197" s="178">
        <f t="shared" si="295"/>
        <v>0.2927871271295906</v>
      </c>
      <c r="BY197" s="5">
        <f t="shared" si="296"/>
        <v>4.1760000000000002</v>
      </c>
      <c r="BZ197" s="178">
        <f t="shared" si="297"/>
        <v>0.93448174665736317</v>
      </c>
      <c r="CA197" s="5">
        <f t="shared" si="298"/>
        <v>93.448174665736317</v>
      </c>
      <c r="CD197" s="580">
        <f t="shared" si="327"/>
        <v>-50</v>
      </c>
      <c r="CE197">
        <f t="shared" si="328"/>
        <v>-50</v>
      </c>
    </row>
    <row r="198" spans="5:83" x14ac:dyDescent="0.2">
      <c r="E198" s="175">
        <v>88</v>
      </c>
      <c r="F198" s="222">
        <f t="shared" si="329"/>
        <v>0.35200000000000004</v>
      </c>
      <c r="G198" s="222"/>
      <c r="H198" s="222">
        <f t="shared" si="299"/>
        <v>4.2240000000000002</v>
      </c>
      <c r="I198" s="558">
        <f t="shared" si="300"/>
        <v>21.6</v>
      </c>
      <c r="J198" s="453">
        <f t="shared" si="301"/>
        <v>24.5</v>
      </c>
      <c r="K198" s="453">
        <f t="shared" si="302"/>
        <v>46.1</v>
      </c>
      <c r="L198" s="453"/>
      <c r="M198" s="222">
        <f t="shared" si="303"/>
        <v>0.53145336225596529</v>
      </c>
      <c r="N198" s="177">
        <f t="shared" si="304"/>
        <v>7.9064316702819957</v>
      </c>
      <c r="O198" s="177">
        <f t="shared" ref="O198:O261" si="333">T198*F198</f>
        <v>4.2240000000000002</v>
      </c>
      <c r="P198" s="222">
        <f t="shared" si="305"/>
        <v>0.65886930585683301</v>
      </c>
      <c r="Q198" s="222">
        <f t="shared" si="306"/>
        <v>12</v>
      </c>
      <c r="R198" s="222"/>
      <c r="S198" s="177">
        <f t="shared" si="307"/>
        <v>31.549112575312456</v>
      </c>
      <c r="T198" s="553">
        <f t="shared" si="308"/>
        <v>12</v>
      </c>
      <c r="U198" s="222">
        <f t="shared" si="309"/>
        <v>0.77466046067549832</v>
      </c>
      <c r="V198" s="222">
        <f t="shared" si="310"/>
        <v>3.0125684581824932</v>
      </c>
      <c r="W198" s="222">
        <f t="shared" si="311"/>
        <v>2.6559787223159943</v>
      </c>
      <c r="X198" s="202">
        <f t="shared" si="312"/>
        <v>350</v>
      </c>
      <c r="Y198" s="453">
        <f t="shared" si="279"/>
        <v>176.41204494871309</v>
      </c>
      <c r="AA198" s="222">
        <f t="shared" si="313"/>
        <v>0.39045553145336231</v>
      </c>
      <c r="AB198" s="178">
        <f t="shared" si="314"/>
        <v>1.3387046792686708</v>
      </c>
      <c r="AC198" s="178">
        <f t="shared" si="315"/>
        <v>0.18294662645103313</v>
      </c>
      <c r="AD198" s="178"/>
      <c r="AE198" s="178">
        <f t="shared" si="316"/>
        <v>0.99428571428571422</v>
      </c>
      <c r="AF198" s="562">
        <f t="shared" si="317"/>
        <v>1220.7689258818871</v>
      </c>
      <c r="AG198" s="545">
        <f t="shared" si="318"/>
        <v>0.10091999999999998</v>
      </c>
      <c r="AI198" s="178">
        <f t="shared" si="319"/>
        <v>0.54160256030906406</v>
      </c>
      <c r="AJ198" s="178">
        <f t="shared" si="320"/>
        <v>0.77466046067549832</v>
      </c>
      <c r="AK198" s="178">
        <f t="shared" si="321"/>
        <v>1.5590077486485172</v>
      </c>
      <c r="AM198" s="562">
        <f t="shared" si="322"/>
        <v>352.00000000000006</v>
      </c>
      <c r="AN198" s="471">
        <f t="shared" si="323"/>
        <v>176.41204494871309</v>
      </c>
      <c r="AP198">
        <f t="shared" si="324"/>
        <v>352.00000000000006</v>
      </c>
      <c r="AQ198">
        <f t="shared" si="325"/>
        <v>176.41204494871309</v>
      </c>
      <c r="AS198" s="5">
        <f t="shared" ref="AS198:AS262" si="334">1/AN198*1000</f>
        <v>5.6685471804984875</v>
      </c>
      <c r="AT198" s="5">
        <f t="shared" si="326"/>
        <v>3.0125684581824932</v>
      </c>
      <c r="AU198" s="5">
        <f t="shared" si="280"/>
        <v>2.6559787223159943</v>
      </c>
      <c r="AV198" s="5"/>
      <c r="AW198" s="178">
        <f t="shared" si="281"/>
        <v>0.53145336225596529</v>
      </c>
      <c r="AX198" s="178">
        <f t="shared" si="330"/>
        <v>4.4463157894736849</v>
      </c>
      <c r="AY198" s="178">
        <f t="shared" si="331"/>
        <v>0.36296455424274976</v>
      </c>
      <c r="AZ198" s="178">
        <f t="shared" ref="AZ198:AZ210" si="335">AX198/AY198</f>
        <v>12.250000000000002</v>
      </c>
      <c r="BD198" s="178">
        <f t="shared" ref="BD198:BD210" si="336">AJ198*SQRT(AW198/3)</f>
        <v>0.32604935236627897</v>
      </c>
      <c r="BE198" s="178">
        <f t="shared" si="332"/>
        <v>0.61229000623186769</v>
      </c>
      <c r="BG198" s="545">
        <f t="shared" si="282"/>
        <v>3.7207863062464479E-2</v>
      </c>
      <c r="BH198" s="545">
        <f t="shared" si="283"/>
        <v>4.725E-2</v>
      </c>
      <c r="BI198" s="545">
        <f t="shared" si="284"/>
        <v>2.2051505618589135E-3</v>
      </c>
      <c r="BJ198" s="545">
        <f t="shared" si="285"/>
        <v>1.8745632102272727E-2</v>
      </c>
      <c r="BK198">
        <f t="shared" si="286"/>
        <v>6.2640000000000005E-3</v>
      </c>
      <c r="BM198" s="471">
        <f t="shared" si="287"/>
        <v>111.67264572659612</v>
      </c>
      <c r="BN198" s="545">
        <f t="shared" si="288"/>
        <v>0.10560000000000001</v>
      </c>
      <c r="BQ198" s="471">
        <f t="shared" si="289"/>
        <v>105.60000000000001</v>
      </c>
      <c r="BR198" s="545">
        <f t="shared" si="290"/>
        <v>1.0099277116954646E-2</v>
      </c>
      <c r="BS198" s="545">
        <f t="shared" si="291"/>
        <v>3.3740914655827847E-2</v>
      </c>
      <c r="BT198" s="545">
        <f t="shared" si="292"/>
        <v>1.0916139186003947E-2</v>
      </c>
      <c r="BU198" s="545"/>
      <c r="BV198" s="545">
        <f t="shared" si="293"/>
        <v>2.3819548872180456E-2</v>
      </c>
      <c r="BW198" s="471">
        <f t="shared" si="294"/>
        <v>78.575879830966898</v>
      </c>
      <c r="BX198" s="178">
        <f t="shared" si="295"/>
        <v>0.29584852555756302</v>
      </c>
      <c r="BY198" s="5">
        <f t="shared" si="296"/>
        <v>4.2240000000000002</v>
      </c>
      <c r="BZ198" s="178">
        <f t="shared" si="297"/>
        <v>0.93454459283653368</v>
      </c>
      <c r="CA198" s="5">
        <f t="shared" si="298"/>
        <v>93.454459283653364</v>
      </c>
      <c r="CD198" s="580">
        <f t="shared" si="327"/>
        <v>-50</v>
      </c>
      <c r="CE198">
        <f t="shared" si="328"/>
        <v>-50</v>
      </c>
    </row>
    <row r="199" spans="5:83" x14ac:dyDescent="0.2">
      <c r="E199" s="175">
        <v>89</v>
      </c>
      <c r="F199" s="222">
        <f t="shared" si="329"/>
        <v>0.35600000000000004</v>
      </c>
      <c r="G199" s="222"/>
      <c r="H199" s="222">
        <f t="shared" si="299"/>
        <v>4.2720000000000002</v>
      </c>
      <c r="I199" s="558">
        <f t="shared" si="300"/>
        <v>21.6</v>
      </c>
      <c r="J199" s="453">
        <f t="shared" si="301"/>
        <v>24.5</v>
      </c>
      <c r="K199" s="453">
        <f t="shared" si="302"/>
        <v>46.1</v>
      </c>
      <c r="L199" s="453"/>
      <c r="M199" s="222">
        <f t="shared" si="303"/>
        <v>0.53145336225596529</v>
      </c>
      <c r="N199" s="177">
        <f t="shared" si="304"/>
        <v>7.9064316702819957</v>
      </c>
      <c r="O199" s="177">
        <f t="shared" si="333"/>
        <v>4.2720000000000002</v>
      </c>
      <c r="P199" s="222">
        <f t="shared" si="305"/>
        <v>0.65886930585683301</v>
      </c>
      <c r="Q199" s="222">
        <f t="shared" si="306"/>
        <v>12</v>
      </c>
      <c r="R199" s="222"/>
      <c r="S199" s="177">
        <f t="shared" si="307"/>
        <v>31.075517555100124</v>
      </c>
      <c r="T199" s="553">
        <f t="shared" si="308"/>
        <v>12</v>
      </c>
      <c r="U199" s="222">
        <f t="shared" si="309"/>
        <v>0.78346342045590167</v>
      </c>
      <c r="V199" s="222">
        <f t="shared" si="310"/>
        <v>3.0468021906618397</v>
      </c>
      <c r="W199" s="222">
        <f t="shared" si="311"/>
        <v>2.6861602987059485</v>
      </c>
      <c r="X199" s="202">
        <f t="shared" si="312"/>
        <v>350</v>
      </c>
      <c r="Y199" s="453">
        <f t="shared" si="279"/>
        <v>174.42988714030062</v>
      </c>
      <c r="AA199" s="222">
        <f t="shared" si="313"/>
        <v>0.39045553145336231</v>
      </c>
      <c r="AB199" s="178">
        <f t="shared" si="314"/>
        <v>1.3387046792686708</v>
      </c>
      <c r="AC199" s="178">
        <f t="shared" si="315"/>
        <v>0.18294662645103313</v>
      </c>
      <c r="AD199" s="178"/>
      <c r="AE199" s="178">
        <f t="shared" si="316"/>
        <v>0.99428571428571422</v>
      </c>
      <c r="AF199" s="562">
        <f t="shared" si="317"/>
        <v>1234.6413000396358</v>
      </c>
      <c r="AG199" s="545">
        <f t="shared" si="318"/>
        <v>0.10091999999999998</v>
      </c>
      <c r="AI199" s="178">
        <f t="shared" si="319"/>
        <v>0.54467115461227311</v>
      </c>
      <c r="AJ199" s="178">
        <f t="shared" si="320"/>
        <v>0.78346342045590167</v>
      </c>
      <c r="AK199" s="178">
        <f t="shared" si="321"/>
        <v>1.5655284595969641</v>
      </c>
      <c r="AM199" s="562">
        <f t="shared" si="322"/>
        <v>356.00000000000006</v>
      </c>
      <c r="AN199" s="471">
        <f t="shared" si="323"/>
        <v>174.42988714030062</v>
      </c>
      <c r="AP199">
        <f t="shared" si="324"/>
        <v>356.00000000000006</v>
      </c>
      <c r="AQ199">
        <f t="shared" si="325"/>
        <v>174.42988714030062</v>
      </c>
      <c r="AS199" s="5">
        <f t="shared" si="334"/>
        <v>5.7329624893677869</v>
      </c>
      <c r="AT199" s="5">
        <f t="shared" si="326"/>
        <v>3.0468021906618397</v>
      </c>
      <c r="AU199" s="5">
        <f t="shared" si="280"/>
        <v>2.6861602987059472</v>
      </c>
      <c r="AV199" s="5"/>
      <c r="AW199" s="178">
        <f t="shared" si="281"/>
        <v>0.5314533622559654</v>
      </c>
      <c r="AX199" s="178">
        <f t="shared" si="330"/>
        <v>4.4968421052631591</v>
      </c>
      <c r="AY199" s="178">
        <f t="shared" si="331"/>
        <v>0.36708915145005361</v>
      </c>
      <c r="AZ199" s="178">
        <f t="shared" si="335"/>
        <v>12.250000000000007</v>
      </c>
      <c r="BD199" s="178">
        <f t="shared" si="336"/>
        <v>0.32975445864316855</v>
      </c>
      <c r="BE199" s="178">
        <f t="shared" si="332"/>
        <v>0.61924784721177517</v>
      </c>
      <c r="BG199" s="545">
        <f t="shared" si="282"/>
        <v>3.8058301048267199E-2</v>
      </c>
      <c r="BH199" s="545">
        <f t="shared" si="283"/>
        <v>4.7250000000000007E-2</v>
      </c>
      <c r="BI199" s="545">
        <f t="shared" si="284"/>
        <v>2.1803735892537575E-3</v>
      </c>
      <c r="BJ199" s="545">
        <f t="shared" si="285"/>
        <v>1.8535007022471912E-2</v>
      </c>
      <c r="BK199">
        <f t="shared" si="286"/>
        <v>6.2640000000000005E-3</v>
      </c>
      <c r="BM199" s="471">
        <f t="shared" si="287"/>
        <v>112.28768165999288</v>
      </c>
      <c r="BN199" s="545">
        <f t="shared" si="288"/>
        <v>0.10680000000000001</v>
      </c>
      <c r="BQ199" s="471">
        <f t="shared" si="289"/>
        <v>106.80000000000001</v>
      </c>
      <c r="BR199" s="545">
        <f t="shared" si="290"/>
        <v>1.0330110284529671E-2</v>
      </c>
      <c r="BS199" s="545">
        <f t="shared" si="291"/>
        <v>3.4512110664877624E-2</v>
      </c>
      <c r="BT199" s="545">
        <f t="shared" si="292"/>
        <v>1.091613918600395E-2</v>
      </c>
      <c r="BU199" s="545"/>
      <c r="BV199" s="545">
        <f t="shared" si="293"/>
        <v>2.4090225563909783E-2</v>
      </c>
      <c r="BW199" s="471">
        <f t="shared" si="294"/>
        <v>79.848585699321035</v>
      </c>
      <c r="BX199" s="178">
        <f t="shared" si="295"/>
        <v>0.29893626735931389</v>
      </c>
      <c r="BY199" s="5">
        <f t="shared" si="296"/>
        <v>4.2720000000000002</v>
      </c>
      <c r="BZ199" s="178">
        <f t="shared" si="297"/>
        <v>0.93460064855990377</v>
      </c>
      <c r="CA199" s="5">
        <f t="shared" si="298"/>
        <v>93.460064855990382</v>
      </c>
      <c r="CD199" s="580">
        <f t="shared" si="327"/>
        <v>-50</v>
      </c>
      <c r="CE199">
        <f t="shared" si="328"/>
        <v>-50</v>
      </c>
    </row>
    <row r="200" spans="5:83" x14ac:dyDescent="0.2">
      <c r="E200" s="175">
        <v>90</v>
      </c>
      <c r="F200" s="222">
        <f t="shared" si="329"/>
        <v>0.36000000000000004</v>
      </c>
      <c r="G200" s="222"/>
      <c r="H200" s="222">
        <f t="shared" si="299"/>
        <v>4.32</v>
      </c>
      <c r="I200" s="558">
        <f t="shared" si="300"/>
        <v>21.6</v>
      </c>
      <c r="J200" s="453">
        <f t="shared" si="301"/>
        <v>24.5</v>
      </c>
      <c r="K200" s="453">
        <f t="shared" si="302"/>
        <v>46.1</v>
      </c>
      <c r="L200" s="453"/>
      <c r="M200" s="222">
        <f t="shared" si="303"/>
        <v>0.53145336225596529</v>
      </c>
      <c r="N200" s="177">
        <f t="shared" si="304"/>
        <v>7.9064316702819957</v>
      </c>
      <c r="O200" s="177">
        <f t="shared" si="333"/>
        <v>4.32</v>
      </c>
      <c r="P200" s="222">
        <f t="shared" si="305"/>
        <v>0.65886930585683301</v>
      </c>
      <c r="Q200" s="222">
        <f t="shared" si="306"/>
        <v>12</v>
      </c>
      <c r="R200" s="222"/>
      <c r="S200" s="177">
        <f t="shared" si="307"/>
        <v>30.612484854596783</v>
      </c>
      <c r="T200" s="553">
        <f t="shared" si="308"/>
        <v>12</v>
      </c>
      <c r="U200" s="222">
        <f t="shared" si="309"/>
        <v>0.79226638023630513</v>
      </c>
      <c r="V200" s="222">
        <f t="shared" si="310"/>
        <v>3.0810359231411861</v>
      </c>
      <c r="W200" s="222">
        <f t="shared" si="311"/>
        <v>2.7163418750959027</v>
      </c>
      <c r="X200" s="202">
        <f t="shared" si="312"/>
        <v>350</v>
      </c>
      <c r="Y200" s="453">
        <f t="shared" si="279"/>
        <v>172.49177728318617</v>
      </c>
      <c r="AA200" s="222">
        <f t="shared" si="313"/>
        <v>0.39045553145336231</v>
      </c>
      <c r="AB200" s="178">
        <f t="shared" si="314"/>
        <v>1.3387046792686708</v>
      </c>
      <c r="AC200" s="178">
        <f t="shared" si="315"/>
        <v>0.18294662645103313</v>
      </c>
      <c r="AD200" s="178"/>
      <c r="AE200" s="178">
        <f t="shared" si="316"/>
        <v>0.99428571428571422</v>
      </c>
      <c r="AF200" s="562">
        <f t="shared" si="317"/>
        <v>1248.5136741973847</v>
      </c>
      <c r="AG200" s="545">
        <f t="shared" si="318"/>
        <v>0.10091999999999998</v>
      </c>
      <c r="AI200" s="178">
        <f t="shared" si="319"/>
        <v>0.54772255750516619</v>
      </c>
      <c r="AJ200" s="178">
        <f t="shared" si="320"/>
        <v>0.79226638023630513</v>
      </c>
      <c r="AK200" s="178">
        <f t="shared" si="321"/>
        <v>1.5720491705454112</v>
      </c>
      <c r="AM200" s="562">
        <f t="shared" si="322"/>
        <v>360.00000000000006</v>
      </c>
      <c r="AN200" s="471">
        <f t="shared" si="323"/>
        <v>172.49177728318617</v>
      </c>
      <c r="AP200">
        <f t="shared" si="324"/>
        <v>360.00000000000006</v>
      </c>
      <c r="AQ200">
        <f t="shared" si="325"/>
        <v>172.49177728318617</v>
      </c>
      <c r="AS200" s="5">
        <f t="shared" si="334"/>
        <v>5.797377798237088</v>
      </c>
      <c r="AT200" s="5">
        <f t="shared" si="326"/>
        <v>3.0810359231411861</v>
      </c>
      <c r="AU200" s="5">
        <f t="shared" si="280"/>
        <v>2.7163418750959019</v>
      </c>
      <c r="AV200" s="5"/>
      <c r="AW200" s="178">
        <f t="shared" si="281"/>
        <v>0.5314533622559654</v>
      </c>
      <c r="AX200" s="178">
        <f t="shared" si="330"/>
        <v>4.5473684210526333</v>
      </c>
      <c r="AY200" s="178">
        <f t="shared" si="331"/>
        <v>0.37121374865735762</v>
      </c>
      <c r="AZ200" s="178">
        <f t="shared" si="335"/>
        <v>12.250000000000007</v>
      </c>
      <c r="BD200" s="178">
        <f t="shared" si="336"/>
        <v>0.33345956492005813</v>
      </c>
      <c r="BE200" s="178">
        <f t="shared" si="332"/>
        <v>0.62620568819168287</v>
      </c>
      <c r="BG200" s="545">
        <f t="shared" si="282"/>
        <v>3.8918348502836063E-2</v>
      </c>
      <c r="BH200" s="545">
        <f t="shared" si="283"/>
        <v>4.7250000000000007E-2</v>
      </c>
      <c r="BI200" s="545">
        <f t="shared" si="284"/>
        <v>2.1561472160398268E-3</v>
      </c>
      <c r="BJ200" s="545">
        <f t="shared" si="285"/>
        <v>1.8329062500000003E-2</v>
      </c>
      <c r="BK200">
        <f t="shared" si="286"/>
        <v>6.2640000000000005E-3</v>
      </c>
      <c r="BM200" s="471">
        <f t="shared" si="287"/>
        <v>112.91755821887591</v>
      </c>
      <c r="BN200" s="545">
        <f t="shared" si="288"/>
        <v>0.10800000000000001</v>
      </c>
      <c r="BQ200" s="471">
        <f t="shared" si="289"/>
        <v>108.00000000000001</v>
      </c>
      <c r="BR200" s="545">
        <f t="shared" si="290"/>
        <v>1.0563551736484074E-2</v>
      </c>
      <c r="BS200" s="545">
        <f t="shared" si="291"/>
        <v>3.5292020753125722E-2</v>
      </c>
      <c r="BT200" s="545">
        <f t="shared" si="292"/>
        <v>1.0916139186003959E-2</v>
      </c>
      <c r="BU200" s="545"/>
      <c r="BV200" s="545">
        <f t="shared" si="293"/>
        <v>2.4360902255639107E-2</v>
      </c>
      <c r="BW200" s="471">
        <f t="shared" si="294"/>
        <v>81.132613931252862</v>
      </c>
      <c r="BX200" s="178">
        <f t="shared" si="295"/>
        <v>0.3020501721501288</v>
      </c>
      <c r="BY200" s="5">
        <f t="shared" si="296"/>
        <v>4.32</v>
      </c>
      <c r="BZ200" s="178">
        <f t="shared" si="297"/>
        <v>0.93465017451127785</v>
      </c>
      <c r="CA200" s="5">
        <f t="shared" si="298"/>
        <v>93.465017451127778</v>
      </c>
      <c r="CD200" s="580">
        <f t="shared" si="327"/>
        <v>-50</v>
      </c>
      <c r="CE200">
        <f t="shared" si="328"/>
        <v>-50</v>
      </c>
    </row>
    <row r="201" spans="5:83" x14ac:dyDescent="0.2">
      <c r="E201" s="175">
        <v>91</v>
      </c>
      <c r="F201" s="222">
        <f t="shared" si="329"/>
        <v>0.36400000000000005</v>
      </c>
      <c r="G201" s="222"/>
      <c r="H201" s="222">
        <f t="shared" si="299"/>
        <v>4.3680000000000003</v>
      </c>
      <c r="I201" s="558">
        <f t="shared" si="300"/>
        <v>21.6</v>
      </c>
      <c r="J201" s="453">
        <f t="shared" si="301"/>
        <v>24.5</v>
      </c>
      <c r="K201" s="453">
        <f t="shared" si="302"/>
        <v>46.1</v>
      </c>
      <c r="L201" s="453"/>
      <c r="M201" s="222">
        <f t="shared" si="303"/>
        <v>0.53145336225596529</v>
      </c>
      <c r="N201" s="177">
        <f t="shared" si="304"/>
        <v>7.9064316702819957</v>
      </c>
      <c r="O201" s="177">
        <f t="shared" si="333"/>
        <v>4.3680000000000003</v>
      </c>
      <c r="P201" s="222">
        <f t="shared" si="305"/>
        <v>0.65886930585683301</v>
      </c>
      <c r="Q201" s="222">
        <f t="shared" si="306"/>
        <v>12</v>
      </c>
      <c r="R201" s="222"/>
      <c r="S201" s="177">
        <f t="shared" si="307"/>
        <v>30.159666677436036</v>
      </c>
      <c r="T201" s="553">
        <f t="shared" si="308"/>
        <v>12</v>
      </c>
      <c r="U201" s="222">
        <f t="shared" si="309"/>
        <v>0.80106934001670849</v>
      </c>
      <c r="V201" s="222">
        <f t="shared" si="310"/>
        <v>3.1152696556205322</v>
      </c>
      <c r="W201" s="222">
        <f t="shared" si="311"/>
        <v>2.746523451485857</v>
      </c>
      <c r="X201" s="202">
        <f t="shared" si="312"/>
        <v>350</v>
      </c>
      <c r="Y201" s="453">
        <f t="shared" si="279"/>
        <v>170.5962632471072</v>
      </c>
      <c r="AA201" s="222">
        <f t="shared" si="313"/>
        <v>0.39045553145336231</v>
      </c>
      <c r="AB201" s="178">
        <f t="shared" si="314"/>
        <v>1.3387046792686708</v>
      </c>
      <c r="AC201" s="178">
        <f t="shared" si="315"/>
        <v>0.18294662645103313</v>
      </c>
      <c r="AD201" s="178"/>
      <c r="AE201" s="178">
        <f t="shared" si="316"/>
        <v>0.99428571428571422</v>
      </c>
      <c r="AF201" s="562">
        <f t="shared" si="317"/>
        <v>1262.3860483551332</v>
      </c>
      <c r="AG201" s="545">
        <f t="shared" si="318"/>
        <v>0.10091999999999998</v>
      </c>
      <c r="AI201" s="178">
        <f t="shared" si="319"/>
        <v>0.55075705472861025</v>
      </c>
      <c r="AJ201" s="178">
        <f t="shared" si="320"/>
        <v>0.80106934001670849</v>
      </c>
      <c r="AK201" s="178">
        <f t="shared" si="321"/>
        <v>1.5785698814938582</v>
      </c>
      <c r="AM201" s="562">
        <f t="shared" si="322"/>
        <v>364.00000000000006</v>
      </c>
      <c r="AN201" s="471">
        <f t="shared" si="323"/>
        <v>170.5962632471072</v>
      </c>
      <c r="AP201">
        <f t="shared" si="324"/>
        <v>364.00000000000006</v>
      </c>
      <c r="AQ201">
        <f t="shared" si="325"/>
        <v>170.5962632471072</v>
      </c>
      <c r="AS201" s="5">
        <f t="shared" si="334"/>
        <v>5.8617931071063882</v>
      </c>
      <c r="AT201" s="5">
        <f t="shared" si="326"/>
        <v>3.1152696556205322</v>
      </c>
      <c r="AU201" s="5">
        <f t="shared" si="280"/>
        <v>2.7465234514858561</v>
      </c>
      <c r="AV201" s="5"/>
      <c r="AW201" s="178">
        <f t="shared" si="281"/>
        <v>0.5314533622559654</v>
      </c>
      <c r="AX201" s="178">
        <f t="shared" si="330"/>
        <v>4.5978947368421066</v>
      </c>
      <c r="AY201" s="178">
        <f t="shared" si="331"/>
        <v>0.37533834586466158</v>
      </c>
      <c r="AZ201" s="178">
        <f t="shared" si="335"/>
        <v>12.250000000000005</v>
      </c>
      <c r="BD201" s="178">
        <f t="shared" si="336"/>
        <v>0.33716467119694765</v>
      </c>
      <c r="BE201" s="178">
        <f t="shared" si="332"/>
        <v>0.63316352917159047</v>
      </c>
      <c r="BG201" s="545">
        <f t="shared" si="282"/>
        <v>3.9788005426171037E-2</v>
      </c>
      <c r="BH201" s="545">
        <f t="shared" si="283"/>
        <v>4.7250000000000007E-2</v>
      </c>
      <c r="BI201" s="545">
        <f t="shared" si="284"/>
        <v>2.1324532905888402E-3</v>
      </c>
      <c r="BJ201" s="545">
        <f t="shared" si="285"/>
        <v>1.8127644230769232E-2</v>
      </c>
      <c r="BK201">
        <f t="shared" si="286"/>
        <v>6.2640000000000005E-3</v>
      </c>
      <c r="BM201" s="471">
        <f t="shared" si="287"/>
        <v>113.56210294752913</v>
      </c>
      <c r="BN201" s="545">
        <f t="shared" si="288"/>
        <v>0.10920000000000001</v>
      </c>
      <c r="BQ201" s="471">
        <f t="shared" si="289"/>
        <v>109.2</v>
      </c>
      <c r="BR201" s="545">
        <f t="shared" si="290"/>
        <v>1.0799601472817853E-2</v>
      </c>
      <c r="BS201" s="545">
        <f t="shared" si="291"/>
        <v>3.6080644920572114E-2</v>
      </c>
      <c r="BT201" s="545">
        <f t="shared" si="292"/>
        <v>1.0916139186003955E-2</v>
      </c>
      <c r="BU201" s="545"/>
      <c r="BV201" s="545">
        <f t="shared" si="293"/>
        <v>2.4631578947368431E-2</v>
      </c>
      <c r="BW201" s="471">
        <f t="shared" si="294"/>
        <v>82.427964526762352</v>
      </c>
      <c r="BX201" s="178">
        <f t="shared" si="295"/>
        <v>0.30519006747429156</v>
      </c>
      <c r="BY201" s="5">
        <f t="shared" si="296"/>
        <v>4.3680000000000003</v>
      </c>
      <c r="BZ201" s="178">
        <f t="shared" si="297"/>
        <v>0.93469341861388555</v>
      </c>
      <c r="CA201" s="5">
        <f t="shared" si="298"/>
        <v>93.469341861388557</v>
      </c>
      <c r="CD201" s="580">
        <f t="shared" si="327"/>
        <v>-50</v>
      </c>
      <c r="CE201">
        <f t="shared" si="328"/>
        <v>-50</v>
      </c>
    </row>
    <row r="202" spans="5:83" x14ac:dyDescent="0.2">
      <c r="E202" s="175">
        <v>92</v>
      </c>
      <c r="F202" s="222">
        <f t="shared" si="329"/>
        <v>0.36800000000000005</v>
      </c>
      <c r="G202" s="222"/>
      <c r="H202" s="222">
        <f t="shared" si="299"/>
        <v>4.4160000000000004</v>
      </c>
      <c r="I202" s="558">
        <f t="shared" si="300"/>
        <v>21.6</v>
      </c>
      <c r="J202" s="453">
        <f t="shared" si="301"/>
        <v>24.5</v>
      </c>
      <c r="K202" s="453">
        <f t="shared" si="302"/>
        <v>46.1</v>
      </c>
      <c r="L202" s="453"/>
      <c r="M202" s="222">
        <f t="shared" si="303"/>
        <v>0.53145336225596529</v>
      </c>
      <c r="N202" s="177">
        <f t="shared" si="304"/>
        <v>7.9064316702819957</v>
      </c>
      <c r="O202" s="177">
        <f t="shared" si="333"/>
        <v>4.4160000000000004</v>
      </c>
      <c r="P202" s="222">
        <f t="shared" si="305"/>
        <v>0.65886930585683301</v>
      </c>
      <c r="Q202" s="222">
        <f t="shared" si="306"/>
        <v>12</v>
      </c>
      <c r="R202" s="222"/>
      <c r="S202" s="177">
        <f t="shared" si="307"/>
        <v>29.716730354528831</v>
      </c>
      <c r="T202" s="553">
        <f t="shared" si="308"/>
        <v>12</v>
      </c>
      <c r="U202" s="222">
        <f t="shared" si="309"/>
        <v>0.80987229979711184</v>
      </c>
      <c r="V202" s="222">
        <f t="shared" si="310"/>
        <v>3.1495033880998786</v>
      </c>
      <c r="W202" s="222">
        <f t="shared" si="311"/>
        <v>2.7767050278758116</v>
      </c>
      <c r="X202" s="202">
        <f t="shared" si="312"/>
        <v>350</v>
      </c>
      <c r="Y202" s="453">
        <f t="shared" si="279"/>
        <v>168.74195603789951</v>
      </c>
      <c r="AA202" s="222">
        <f t="shared" si="313"/>
        <v>0.39045553145336231</v>
      </c>
      <c r="AB202" s="178">
        <f t="shared" si="314"/>
        <v>1.3387046792686708</v>
      </c>
      <c r="AC202" s="178">
        <f t="shared" si="315"/>
        <v>0.18294662645103313</v>
      </c>
      <c r="AD202" s="178"/>
      <c r="AE202" s="178">
        <f t="shared" si="316"/>
        <v>0.99428571428571422</v>
      </c>
      <c r="AF202" s="562">
        <f t="shared" si="317"/>
        <v>1276.2584225128819</v>
      </c>
      <c r="AG202" s="545">
        <f t="shared" si="318"/>
        <v>0.10091999999999998</v>
      </c>
      <c r="AI202" s="178">
        <f t="shared" si="319"/>
        <v>0.55377492419453833</v>
      </c>
      <c r="AJ202" s="178">
        <f t="shared" si="320"/>
        <v>0.80987229979711184</v>
      </c>
      <c r="AK202" s="178">
        <f t="shared" si="321"/>
        <v>1.5850905924423051</v>
      </c>
      <c r="AM202" s="562">
        <f t="shared" si="322"/>
        <v>368.00000000000006</v>
      </c>
      <c r="AN202" s="471">
        <f t="shared" si="323"/>
        <v>168.74195603789951</v>
      </c>
      <c r="AP202">
        <f t="shared" si="324"/>
        <v>368.00000000000006</v>
      </c>
      <c r="AQ202">
        <f t="shared" si="325"/>
        <v>168.74195603789951</v>
      </c>
      <c r="AS202" s="5">
        <f t="shared" si="334"/>
        <v>5.9262084159756903</v>
      </c>
      <c r="AT202" s="5">
        <f t="shared" si="326"/>
        <v>3.1495033880998786</v>
      </c>
      <c r="AU202" s="5">
        <f t="shared" si="280"/>
        <v>2.7767050278758116</v>
      </c>
      <c r="AV202" s="5"/>
      <c r="AW202" s="178">
        <f t="shared" si="281"/>
        <v>0.53145336225596529</v>
      </c>
      <c r="AX202" s="178">
        <f t="shared" si="330"/>
        <v>4.6484210526315799</v>
      </c>
      <c r="AY202" s="178">
        <f t="shared" si="331"/>
        <v>0.37946294307196565</v>
      </c>
      <c r="AZ202" s="178">
        <f t="shared" si="335"/>
        <v>12.250000000000002</v>
      </c>
      <c r="BD202" s="178">
        <f t="shared" si="336"/>
        <v>0.34086977747383712</v>
      </c>
      <c r="BE202" s="178">
        <f t="shared" si="332"/>
        <v>0.64012137015149795</v>
      </c>
      <c r="BG202" s="545">
        <f t="shared" si="282"/>
        <v>4.0667271818272129E-2</v>
      </c>
      <c r="BH202" s="545">
        <f t="shared" si="283"/>
        <v>4.7250000000000007E-2</v>
      </c>
      <c r="BI202" s="545">
        <f t="shared" si="284"/>
        <v>2.1092744504737438E-3</v>
      </c>
      <c r="BJ202" s="545">
        <f t="shared" si="285"/>
        <v>1.7930604619565221E-2</v>
      </c>
      <c r="BK202">
        <f t="shared" si="286"/>
        <v>6.2640000000000005E-3</v>
      </c>
      <c r="BM202" s="471">
        <f t="shared" si="287"/>
        <v>114.22115088831112</v>
      </c>
      <c r="BN202" s="545">
        <f t="shared" si="288"/>
        <v>0.11040000000000001</v>
      </c>
      <c r="BQ202" s="471">
        <f t="shared" si="289"/>
        <v>110.4</v>
      </c>
      <c r="BR202" s="545">
        <f t="shared" si="290"/>
        <v>1.1038259493531008E-2</v>
      </c>
      <c r="BS202" s="545">
        <f t="shared" si="291"/>
        <v>3.6877983167216792E-2</v>
      </c>
      <c r="BT202" s="545">
        <f t="shared" si="292"/>
        <v>1.091613918600395E-2</v>
      </c>
      <c r="BU202" s="545"/>
      <c r="BV202" s="545">
        <f t="shared" si="293"/>
        <v>2.4902255639097752E-2</v>
      </c>
      <c r="BW202" s="471">
        <f t="shared" si="294"/>
        <v>83.734637485849504</v>
      </c>
      <c r="BX202" s="178">
        <f t="shared" si="295"/>
        <v>0.30835578837416061</v>
      </c>
      <c r="BY202" s="5">
        <f t="shared" si="296"/>
        <v>4.4160000000000004</v>
      </c>
      <c r="BZ202" s="178">
        <f t="shared" si="297"/>
        <v>0.93473061678949509</v>
      </c>
      <c r="CA202" s="5">
        <f t="shared" si="298"/>
        <v>93.473061678949506</v>
      </c>
      <c r="CD202" s="580">
        <f t="shared" si="327"/>
        <v>-50</v>
      </c>
      <c r="CE202">
        <f t="shared" si="328"/>
        <v>-50</v>
      </c>
    </row>
    <row r="203" spans="5:83" x14ac:dyDescent="0.2">
      <c r="E203" s="175">
        <v>93</v>
      </c>
      <c r="F203" s="222">
        <f t="shared" si="329"/>
        <v>0.37200000000000005</v>
      </c>
      <c r="G203" s="222"/>
      <c r="H203" s="222">
        <f t="shared" si="299"/>
        <v>4.4640000000000004</v>
      </c>
      <c r="I203" s="558">
        <f t="shared" si="300"/>
        <v>21.6</v>
      </c>
      <c r="J203" s="453">
        <f t="shared" si="301"/>
        <v>24.5</v>
      </c>
      <c r="K203" s="453">
        <f t="shared" si="302"/>
        <v>46.1</v>
      </c>
      <c r="L203" s="453"/>
      <c r="M203" s="222">
        <f t="shared" si="303"/>
        <v>0.53145336225596529</v>
      </c>
      <c r="N203" s="177">
        <f t="shared" si="304"/>
        <v>7.9064316702819957</v>
      </c>
      <c r="O203" s="177">
        <f t="shared" si="333"/>
        <v>4.4640000000000004</v>
      </c>
      <c r="P203" s="222">
        <f t="shared" si="305"/>
        <v>0.65886930585683301</v>
      </c>
      <c r="Q203" s="222">
        <f t="shared" si="306"/>
        <v>12</v>
      </c>
      <c r="R203" s="222"/>
      <c r="S203" s="177">
        <f t="shared" si="307"/>
        <v>29.28335753086235</v>
      </c>
      <c r="T203" s="553">
        <f t="shared" si="308"/>
        <v>12</v>
      </c>
      <c r="U203" s="222">
        <f t="shared" si="309"/>
        <v>0.8186752595775153</v>
      </c>
      <c r="V203" s="222">
        <f t="shared" si="310"/>
        <v>3.183737120579226</v>
      </c>
      <c r="W203" s="222">
        <f t="shared" si="311"/>
        <v>2.8068866042657667</v>
      </c>
      <c r="X203" s="202">
        <f t="shared" si="312"/>
        <v>350</v>
      </c>
      <c r="Y203" s="453">
        <f t="shared" si="279"/>
        <v>166.92752640308336</v>
      </c>
      <c r="AA203" s="222">
        <f t="shared" si="313"/>
        <v>0.39045553145336231</v>
      </c>
      <c r="AB203" s="178">
        <f t="shared" si="314"/>
        <v>1.3387046792686708</v>
      </c>
      <c r="AC203" s="178">
        <f t="shared" si="315"/>
        <v>0.18294662645103313</v>
      </c>
      <c r="AD203" s="178"/>
      <c r="AE203" s="178">
        <f t="shared" si="316"/>
        <v>0.99428571428571422</v>
      </c>
      <c r="AF203" s="562">
        <f t="shared" si="317"/>
        <v>1290.1307966706308</v>
      </c>
      <c r="AG203" s="545">
        <f t="shared" si="318"/>
        <v>0.10091999999999998</v>
      </c>
      <c r="AI203" s="178">
        <f t="shared" si="319"/>
        <v>0.55677643628300222</v>
      </c>
      <c r="AJ203" s="178">
        <f t="shared" si="320"/>
        <v>0.8186752595775153</v>
      </c>
      <c r="AK203" s="178">
        <f t="shared" si="321"/>
        <v>1.591611303390752</v>
      </c>
      <c r="AM203" s="562">
        <f t="shared" si="322"/>
        <v>372.00000000000006</v>
      </c>
      <c r="AN203" s="471">
        <f t="shared" si="323"/>
        <v>166.92752640308336</v>
      </c>
      <c r="AP203">
        <f t="shared" si="324"/>
        <v>372.00000000000006</v>
      </c>
      <c r="AQ203">
        <f t="shared" si="325"/>
        <v>166.92752640308336</v>
      </c>
      <c r="AS203" s="5">
        <f t="shared" si="334"/>
        <v>5.9906237248449914</v>
      </c>
      <c r="AT203" s="5">
        <f t="shared" si="326"/>
        <v>3.183737120579226</v>
      </c>
      <c r="AU203" s="5">
        <f t="shared" si="280"/>
        <v>2.8068866042657654</v>
      </c>
      <c r="AV203" s="5"/>
      <c r="AW203" s="178">
        <f t="shared" si="281"/>
        <v>0.5314533622559654</v>
      </c>
      <c r="AX203" s="178">
        <f t="shared" si="330"/>
        <v>4.6989473684210532</v>
      </c>
      <c r="AY203" s="178">
        <f t="shared" si="331"/>
        <v>0.38358754027926956</v>
      </c>
      <c r="AZ203" s="178">
        <f t="shared" si="335"/>
        <v>12.250000000000004</v>
      </c>
      <c r="BD203" s="178">
        <f t="shared" si="336"/>
        <v>0.3445748837507267</v>
      </c>
      <c r="BE203" s="178">
        <f t="shared" si="332"/>
        <v>0.64707921113140565</v>
      </c>
      <c r="BG203" s="545">
        <f t="shared" si="282"/>
        <v>4.1556147679139385E-2</v>
      </c>
      <c r="BH203" s="545">
        <f t="shared" si="283"/>
        <v>4.725E-2</v>
      </c>
      <c r="BI203" s="545">
        <f t="shared" si="284"/>
        <v>2.086594080038542E-3</v>
      </c>
      <c r="BJ203" s="545">
        <f t="shared" si="285"/>
        <v>1.7737802419354839E-2</v>
      </c>
      <c r="BK203">
        <f t="shared" si="286"/>
        <v>6.2640000000000005E-3</v>
      </c>
      <c r="BM203" s="471">
        <f t="shared" si="287"/>
        <v>114.89454417853277</v>
      </c>
      <c r="BN203" s="545">
        <f t="shared" si="288"/>
        <v>0.11160000000000002</v>
      </c>
      <c r="BQ203" s="471">
        <f t="shared" si="289"/>
        <v>111.60000000000002</v>
      </c>
      <c r="BR203" s="545">
        <f t="shared" si="290"/>
        <v>1.1279525798623548E-2</v>
      </c>
      <c r="BS203" s="545">
        <f t="shared" si="291"/>
        <v>3.7684035493059806E-2</v>
      </c>
      <c r="BT203" s="545">
        <f t="shared" si="292"/>
        <v>1.0916139186003948E-2</v>
      </c>
      <c r="BU203" s="545"/>
      <c r="BV203" s="545">
        <f t="shared" si="293"/>
        <v>2.5172932330827073E-2</v>
      </c>
      <c r="BW203" s="471">
        <f t="shared" si="294"/>
        <v>85.052632808514375</v>
      </c>
      <c r="BX203" s="178">
        <f t="shared" si="295"/>
        <v>0.31154717698704715</v>
      </c>
      <c r="BY203" s="5">
        <f t="shared" si="296"/>
        <v>4.4640000000000004</v>
      </c>
      <c r="BZ203" s="178">
        <f t="shared" si="297"/>
        <v>0.93476199366464929</v>
      </c>
      <c r="CA203" s="5">
        <f t="shared" si="298"/>
        <v>93.476199366464925</v>
      </c>
      <c r="CD203" s="580">
        <f t="shared" si="327"/>
        <v>-50</v>
      </c>
      <c r="CE203">
        <f t="shared" si="328"/>
        <v>-50</v>
      </c>
    </row>
    <row r="204" spans="5:83" x14ac:dyDescent="0.2">
      <c r="E204" s="175">
        <v>94</v>
      </c>
      <c r="F204" s="222">
        <f t="shared" si="329"/>
        <v>0.376</v>
      </c>
      <c r="G204" s="222"/>
      <c r="H204" s="222">
        <f t="shared" si="299"/>
        <v>4.5120000000000005</v>
      </c>
      <c r="I204" s="558">
        <f t="shared" si="300"/>
        <v>21.6</v>
      </c>
      <c r="J204" s="453">
        <f t="shared" si="301"/>
        <v>24.5</v>
      </c>
      <c r="K204" s="453">
        <f t="shared" si="302"/>
        <v>46.1</v>
      </c>
      <c r="L204" s="453"/>
      <c r="M204" s="222">
        <f t="shared" si="303"/>
        <v>0.53145336225596529</v>
      </c>
      <c r="N204" s="177">
        <f t="shared" si="304"/>
        <v>7.9064316702819957</v>
      </c>
      <c r="O204" s="177">
        <f t="shared" si="333"/>
        <v>4.5120000000000005</v>
      </c>
      <c r="P204" s="222">
        <f t="shared" si="305"/>
        <v>0.65886930585683301</v>
      </c>
      <c r="Q204" s="222">
        <f t="shared" si="306"/>
        <v>12</v>
      </c>
      <c r="R204" s="222"/>
      <c r="S204" s="177">
        <f t="shared" si="307"/>
        <v>28.859243404207049</v>
      </c>
      <c r="T204" s="553">
        <f t="shared" si="308"/>
        <v>12</v>
      </c>
      <c r="U204" s="222">
        <f t="shared" si="309"/>
        <v>0.82747821935791865</v>
      </c>
      <c r="V204" s="222">
        <f t="shared" si="310"/>
        <v>3.217970853058572</v>
      </c>
      <c r="W204" s="222">
        <f t="shared" si="311"/>
        <v>2.837068180655721</v>
      </c>
      <c r="X204" s="202">
        <f t="shared" si="312"/>
        <v>350</v>
      </c>
      <c r="Y204" s="453">
        <f t="shared" si="279"/>
        <v>165.15170165411442</v>
      </c>
      <c r="AA204" s="222">
        <f t="shared" si="313"/>
        <v>0.39045553145336231</v>
      </c>
      <c r="AB204" s="178">
        <f t="shared" si="314"/>
        <v>1.3387046792686708</v>
      </c>
      <c r="AC204" s="178">
        <f t="shared" si="315"/>
        <v>0.18294662645103313</v>
      </c>
      <c r="AD204" s="178"/>
      <c r="AE204" s="178">
        <f t="shared" si="316"/>
        <v>0.99428571428571422</v>
      </c>
      <c r="AF204" s="562">
        <f t="shared" si="317"/>
        <v>1304.0031708283793</v>
      </c>
      <c r="AG204" s="545">
        <f t="shared" si="318"/>
        <v>0.10091999999999998</v>
      </c>
      <c r="AI204" s="178">
        <f t="shared" si="319"/>
        <v>0.55976185412488888</v>
      </c>
      <c r="AJ204" s="178">
        <f t="shared" si="320"/>
        <v>0.82747821935791865</v>
      </c>
      <c r="AK204" s="178">
        <f t="shared" si="321"/>
        <v>1.5981320143391988</v>
      </c>
      <c r="AM204" s="562">
        <f t="shared" si="322"/>
        <v>376</v>
      </c>
      <c r="AN204" s="471">
        <f t="shared" si="323"/>
        <v>165.15170165411442</v>
      </c>
      <c r="AP204">
        <f t="shared" si="324"/>
        <v>376</v>
      </c>
      <c r="AQ204">
        <f t="shared" si="325"/>
        <v>165.15170165411442</v>
      </c>
      <c r="AS204" s="5">
        <f t="shared" si="334"/>
        <v>6.0550390337142916</v>
      </c>
      <c r="AT204" s="5">
        <f t="shared" si="326"/>
        <v>3.217970853058572</v>
      </c>
      <c r="AU204" s="5">
        <f t="shared" si="280"/>
        <v>2.8370681806557196</v>
      </c>
      <c r="AV204" s="5"/>
      <c r="AW204" s="178">
        <f t="shared" si="281"/>
        <v>0.5314533622559654</v>
      </c>
      <c r="AX204" s="178">
        <f t="shared" si="330"/>
        <v>4.7494736842105274</v>
      </c>
      <c r="AY204" s="178">
        <f t="shared" si="331"/>
        <v>0.38771213748657352</v>
      </c>
      <c r="AZ204" s="178">
        <f t="shared" si="335"/>
        <v>12.250000000000005</v>
      </c>
      <c r="BD204" s="178">
        <f t="shared" si="336"/>
        <v>0.34827999002761623</v>
      </c>
      <c r="BE204" s="178">
        <f t="shared" si="332"/>
        <v>0.65403705211131313</v>
      </c>
      <c r="BG204" s="545">
        <f t="shared" si="282"/>
        <v>4.2454633008772759E-2</v>
      </c>
      <c r="BH204" s="545">
        <f t="shared" si="283"/>
        <v>4.7250000000000007E-2</v>
      </c>
      <c r="BI204" s="545">
        <f t="shared" si="284"/>
        <v>2.0643962706764301E-3</v>
      </c>
      <c r="BJ204" s="545">
        <f t="shared" si="285"/>
        <v>1.7549102393617025E-2</v>
      </c>
      <c r="BK204">
        <f t="shared" si="286"/>
        <v>6.2640000000000005E-3</v>
      </c>
      <c r="BM204" s="471">
        <f t="shared" si="287"/>
        <v>115.58213167306623</v>
      </c>
      <c r="BN204" s="545">
        <f t="shared" si="288"/>
        <v>0.1128</v>
      </c>
      <c r="BQ204" s="471">
        <f t="shared" si="289"/>
        <v>112.8</v>
      </c>
      <c r="BR204" s="545">
        <f t="shared" si="290"/>
        <v>1.1523400388095463E-2</v>
      </c>
      <c r="BS204" s="545">
        <f t="shared" si="291"/>
        <v>3.8498801898101086E-2</v>
      </c>
      <c r="BT204" s="545">
        <f t="shared" si="292"/>
        <v>1.0916139186003943E-2</v>
      </c>
      <c r="BU204" s="545"/>
      <c r="BV204" s="545">
        <f t="shared" si="293"/>
        <v>2.5443609022556407E-2</v>
      </c>
      <c r="BW204" s="471">
        <f t="shared" si="294"/>
        <v>86.381950494756907</v>
      </c>
      <c r="BX204" s="178">
        <f t="shared" si="295"/>
        <v>0.31476408216782314</v>
      </c>
      <c r="BY204" s="5">
        <f t="shared" si="296"/>
        <v>4.5120000000000005</v>
      </c>
      <c r="BZ204" s="178">
        <f t="shared" si="297"/>
        <v>0.93478776322822588</v>
      </c>
      <c r="CA204" s="5">
        <f t="shared" si="298"/>
        <v>93.478776322822583</v>
      </c>
      <c r="CD204" s="580">
        <f t="shared" si="327"/>
        <v>-50</v>
      </c>
      <c r="CE204">
        <f t="shared" si="328"/>
        <v>-50</v>
      </c>
    </row>
    <row r="205" spans="5:83" x14ac:dyDescent="0.2">
      <c r="E205" s="175">
        <v>95</v>
      </c>
      <c r="F205" s="222">
        <f t="shared" si="329"/>
        <v>0.38</v>
      </c>
      <c r="G205" s="222"/>
      <c r="H205" s="222">
        <f t="shared" si="299"/>
        <v>4.5600000000000005</v>
      </c>
      <c r="I205" s="558">
        <f t="shared" si="300"/>
        <v>21.6</v>
      </c>
      <c r="J205" s="453">
        <f t="shared" si="301"/>
        <v>24.5</v>
      </c>
      <c r="K205" s="453">
        <f t="shared" si="302"/>
        <v>46.1</v>
      </c>
      <c r="L205" s="453"/>
      <c r="M205" s="222">
        <f t="shared" si="303"/>
        <v>0.53145336225596529</v>
      </c>
      <c r="N205" s="177">
        <f t="shared" si="304"/>
        <v>7.9064316702819957</v>
      </c>
      <c r="O205" s="177">
        <f t="shared" si="333"/>
        <v>4.5600000000000005</v>
      </c>
      <c r="P205" s="222">
        <f t="shared" si="305"/>
        <v>0.65886930585683301</v>
      </c>
      <c r="Q205" s="222">
        <f t="shared" si="306"/>
        <v>12</v>
      </c>
      <c r="R205" s="222"/>
      <c r="S205" s="177">
        <f t="shared" si="307"/>
        <v>28.444096011907106</v>
      </c>
      <c r="T205" s="553">
        <f t="shared" si="308"/>
        <v>12</v>
      </c>
      <c r="U205" s="222">
        <f t="shared" si="309"/>
        <v>0.83628117913832212</v>
      </c>
      <c r="V205" s="222">
        <f t="shared" si="310"/>
        <v>3.2522045855379189</v>
      </c>
      <c r="W205" s="222">
        <f t="shared" si="311"/>
        <v>2.8672497570456756</v>
      </c>
      <c r="X205" s="202">
        <f t="shared" si="312"/>
        <v>350</v>
      </c>
      <c r="Y205" s="453">
        <f t="shared" si="279"/>
        <v>163.41326268933423</v>
      </c>
      <c r="AA205" s="222">
        <f t="shared" si="313"/>
        <v>0.39045553145336231</v>
      </c>
      <c r="AB205" s="178">
        <f t="shared" si="314"/>
        <v>1.3387046792686708</v>
      </c>
      <c r="AC205" s="178">
        <f t="shared" si="315"/>
        <v>0.18294662645103313</v>
      </c>
      <c r="AD205" s="178"/>
      <c r="AE205" s="178">
        <f t="shared" si="316"/>
        <v>0.99428571428571422</v>
      </c>
      <c r="AF205" s="562">
        <f t="shared" si="317"/>
        <v>1317.8755449861278</v>
      </c>
      <c r="AG205" s="545">
        <f t="shared" si="318"/>
        <v>0.10091999999999998</v>
      </c>
      <c r="AI205" s="178">
        <f t="shared" si="319"/>
        <v>0.56273143387113778</v>
      </c>
      <c r="AJ205" s="178">
        <f t="shared" si="320"/>
        <v>0.83628117913832212</v>
      </c>
      <c r="AK205" s="178">
        <f t="shared" si="321"/>
        <v>1.6046527252876461</v>
      </c>
      <c r="AM205" s="562">
        <f t="shared" si="322"/>
        <v>380</v>
      </c>
      <c r="AN205" s="471">
        <f t="shared" si="323"/>
        <v>163.41326268933423</v>
      </c>
      <c r="AP205">
        <f t="shared" si="324"/>
        <v>380</v>
      </c>
      <c r="AQ205">
        <f t="shared" si="325"/>
        <v>163.41326268933423</v>
      </c>
      <c r="AS205" s="5">
        <f t="shared" si="334"/>
        <v>6.1194543425835946</v>
      </c>
      <c r="AT205" s="5">
        <f t="shared" si="326"/>
        <v>3.2522045855379189</v>
      </c>
      <c r="AU205" s="5">
        <f t="shared" si="280"/>
        <v>2.8672497570456756</v>
      </c>
      <c r="AV205" s="5"/>
      <c r="AW205" s="178">
        <f t="shared" si="281"/>
        <v>0.53145336225596529</v>
      </c>
      <c r="AX205" s="178">
        <f t="shared" si="330"/>
        <v>4.8000000000000007</v>
      </c>
      <c r="AY205" s="178">
        <f t="shared" si="331"/>
        <v>0.39183673469387759</v>
      </c>
      <c r="AZ205" s="178">
        <f t="shared" si="335"/>
        <v>12.25</v>
      </c>
      <c r="BD205" s="178">
        <f t="shared" si="336"/>
        <v>0.35198509630450575</v>
      </c>
      <c r="BE205" s="178">
        <f t="shared" si="332"/>
        <v>0.66099489309122084</v>
      </c>
      <c r="BG205" s="545">
        <f t="shared" si="282"/>
        <v>4.3362727807172263E-2</v>
      </c>
      <c r="BH205" s="545">
        <f t="shared" si="283"/>
        <v>4.7250000000000007E-2</v>
      </c>
      <c r="BI205" s="545">
        <f t="shared" si="284"/>
        <v>2.0426657836166776E-3</v>
      </c>
      <c r="BJ205" s="545">
        <f t="shared" si="285"/>
        <v>1.7364375000000001E-2</v>
      </c>
      <c r="BK205">
        <f t="shared" si="286"/>
        <v>6.2640000000000005E-3</v>
      </c>
      <c r="BM205" s="471">
        <f t="shared" si="287"/>
        <v>116.28376859078895</v>
      </c>
      <c r="BN205" s="545">
        <f t="shared" si="288"/>
        <v>0.11399999999999999</v>
      </c>
      <c r="BQ205" s="471">
        <f t="shared" si="289"/>
        <v>113.99999999999999</v>
      </c>
      <c r="BR205" s="545">
        <f t="shared" si="290"/>
        <v>1.1769883261946758E-2</v>
      </c>
      <c r="BS205" s="545">
        <f t="shared" si="291"/>
        <v>3.9322282382340701E-2</v>
      </c>
      <c r="BT205" s="545">
        <f t="shared" si="292"/>
        <v>1.0916139186003957E-2</v>
      </c>
      <c r="BU205" s="545"/>
      <c r="BV205" s="545">
        <f t="shared" si="293"/>
        <v>2.5714285714285721E-2</v>
      </c>
      <c r="BW205" s="471">
        <f t="shared" si="294"/>
        <v>87.72259054457713</v>
      </c>
      <c r="BX205" s="178">
        <f t="shared" si="295"/>
        <v>0.31800635913536612</v>
      </c>
      <c r="BY205" s="5">
        <f t="shared" si="296"/>
        <v>4.5600000000000005</v>
      </c>
      <c r="BZ205" s="178">
        <f t="shared" si="297"/>
        <v>0.93480812944414993</v>
      </c>
      <c r="CA205" s="5">
        <f t="shared" si="298"/>
        <v>93.480812944414993</v>
      </c>
      <c r="CD205" s="580">
        <f t="shared" si="327"/>
        <v>-50</v>
      </c>
      <c r="CE205">
        <f t="shared" si="328"/>
        <v>-50</v>
      </c>
    </row>
    <row r="206" spans="5:83" x14ac:dyDescent="0.2">
      <c r="E206" s="175">
        <v>96</v>
      </c>
      <c r="F206" s="222">
        <f t="shared" si="329"/>
        <v>0.38400000000000001</v>
      </c>
      <c r="G206" s="222"/>
      <c r="H206" s="222">
        <f t="shared" ref="H206:H210" si="337">F206*Vout</f>
        <v>4.6080000000000005</v>
      </c>
      <c r="I206" s="558">
        <f t="shared" si="300"/>
        <v>21.6</v>
      </c>
      <c r="J206" s="453">
        <f t="shared" si="301"/>
        <v>24.5</v>
      </c>
      <c r="K206" s="453">
        <f t="shared" si="302"/>
        <v>46.1</v>
      </c>
      <c r="L206" s="453"/>
      <c r="M206" s="222">
        <f t="shared" si="303"/>
        <v>0.53145336225596529</v>
      </c>
      <c r="N206" s="177">
        <f t="shared" ref="N206:N210" si="338">M206*I206*Isw_max*0.5*Efficiency</f>
        <v>7.9064316702819957</v>
      </c>
      <c r="O206" s="177">
        <f t="shared" si="333"/>
        <v>4.6080000000000005</v>
      </c>
      <c r="P206" s="222">
        <f t="shared" ref="P206:P210" si="339">N206/Vout</f>
        <v>0.65886930585683301</v>
      </c>
      <c r="Q206" s="222">
        <f t="shared" si="306"/>
        <v>12</v>
      </c>
      <c r="R206" s="222"/>
      <c r="S206" s="177">
        <f t="shared" si="307"/>
        <v>28.037635562248202</v>
      </c>
      <c r="T206" s="553">
        <f t="shared" ref="T206:T210" si="340">MIN(Vout, S206)</f>
        <v>12</v>
      </c>
      <c r="U206" s="222">
        <f t="shared" si="309"/>
        <v>0.84508413891872547</v>
      </c>
      <c r="V206" s="222">
        <f t="shared" ref="V206:V210" si="341">L*U206/I206*1000000</f>
        <v>3.2864383180172654</v>
      </c>
      <c r="W206" s="222">
        <f t="shared" si="311"/>
        <v>2.8974313334356299</v>
      </c>
      <c r="X206" s="202">
        <f t="shared" si="312"/>
        <v>350</v>
      </c>
      <c r="Y206" s="453">
        <f t="shared" si="279"/>
        <v>161.71104120298702</v>
      </c>
      <c r="AA206" s="222">
        <f t="shared" si="313"/>
        <v>0.39045553145336231</v>
      </c>
      <c r="AB206" s="178">
        <f t="shared" ref="AB206:AB210" si="342">L*AA206/J206*1000000</f>
        <v>1.3387046792686708</v>
      </c>
      <c r="AC206" s="178">
        <f t="shared" ref="AC206:AC210" si="343">0.5*AB206*AA206*Nps*X206/1000</f>
        <v>0.18294662645103313</v>
      </c>
      <c r="AD206" s="178"/>
      <c r="AE206" s="178">
        <f t="shared" si="316"/>
        <v>0.99428571428571422</v>
      </c>
      <c r="AF206" s="562">
        <f t="shared" ref="AF206:AF210" si="344">MAX(10000,F206/(0.5*AE206/1000000*Isw_min*Nps))/1000</f>
        <v>1331.7479191438767</v>
      </c>
      <c r="AG206" s="545">
        <f t="shared" si="318"/>
        <v>0.10091999999999998</v>
      </c>
      <c r="AI206" s="178">
        <f t="shared" si="319"/>
        <v>0.56568542494923801</v>
      </c>
      <c r="AJ206" s="178">
        <f t="shared" ref="AJ206:AJ210" si="345">MAX(IF(F206&gt;AC206,U206,AI206),Isw_min)</f>
        <v>0.84508413891872547</v>
      </c>
      <c r="AK206" s="178">
        <f t="shared" ref="AK206:AK210" si="346">IF(F206&gt;AG206, (AJ206-Isw_min)/1.08*0.8+1.2, AF206*0.2/350+1)</f>
        <v>1.611173436236093</v>
      </c>
      <c r="AM206" s="562">
        <f t="shared" si="322"/>
        <v>384</v>
      </c>
      <c r="AN206" s="471">
        <f t="shared" si="323"/>
        <v>161.71104120298702</v>
      </c>
      <c r="AP206">
        <f t="shared" si="324"/>
        <v>384</v>
      </c>
      <c r="AQ206">
        <f t="shared" si="325"/>
        <v>161.71104120298702</v>
      </c>
      <c r="AS206" s="5">
        <f t="shared" si="334"/>
        <v>6.1838696514528948</v>
      </c>
      <c r="AT206" s="5">
        <f t="shared" si="326"/>
        <v>3.2864383180172654</v>
      </c>
      <c r="AU206" s="5">
        <f t="shared" si="280"/>
        <v>2.8974313334356294</v>
      </c>
      <c r="AV206" s="5"/>
      <c r="AW206" s="178">
        <f t="shared" si="281"/>
        <v>0.53145336225596529</v>
      </c>
      <c r="AX206" s="178">
        <f t="shared" si="330"/>
        <v>4.8505263157894749</v>
      </c>
      <c r="AY206" s="178">
        <f t="shared" si="331"/>
        <v>0.39596133190118155</v>
      </c>
      <c r="AZ206" s="178">
        <f t="shared" si="335"/>
        <v>12.250000000000002</v>
      </c>
      <c r="BD206" s="178">
        <f t="shared" si="336"/>
        <v>0.35569020258139528</v>
      </c>
      <c r="BE206" s="178">
        <f t="shared" si="332"/>
        <v>0.66795273407112843</v>
      </c>
      <c r="BG206" s="545">
        <f t="shared" si="282"/>
        <v>4.4280432074337898E-2</v>
      </c>
      <c r="BH206" s="545">
        <f t="shared" si="283"/>
        <v>4.7250000000000007E-2</v>
      </c>
      <c r="BI206" s="545">
        <f t="shared" si="284"/>
        <v>2.0213880150373375E-3</v>
      </c>
      <c r="BJ206" s="545">
        <f t="shared" si="285"/>
        <v>1.718349609375E-2</v>
      </c>
      <c r="BK206">
        <f t="shared" si="286"/>
        <v>6.2640000000000005E-3</v>
      </c>
      <c r="BM206" s="471">
        <f t="shared" si="287"/>
        <v>116.99931618312525</v>
      </c>
      <c r="BN206" s="545">
        <f t="shared" si="288"/>
        <v>0.1152</v>
      </c>
      <c r="BQ206" s="471">
        <f t="shared" si="289"/>
        <v>115.2</v>
      </c>
      <c r="BR206" s="545">
        <f t="shared" si="290"/>
        <v>1.2018974420177431E-2</v>
      </c>
      <c r="BS206" s="545">
        <f t="shared" si="291"/>
        <v>4.0154476945778603E-2</v>
      </c>
      <c r="BT206" s="545">
        <f t="shared" si="292"/>
        <v>1.0916139186003964E-2</v>
      </c>
      <c r="BU206" s="545"/>
      <c r="BV206" s="545">
        <f t="shared" si="293"/>
        <v>2.5984962406015048E-2</v>
      </c>
      <c r="BW206" s="471">
        <f t="shared" si="294"/>
        <v>89.07455295797503</v>
      </c>
      <c r="BX206" s="178">
        <f t="shared" si="295"/>
        <v>0.32127386914110029</v>
      </c>
      <c r="BY206" s="5">
        <f t="shared" si="296"/>
        <v>4.6080000000000005</v>
      </c>
      <c r="BZ206" s="178">
        <f t="shared" si="297"/>
        <v>0.93482328682275462</v>
      </c>
      <c r="CA206" s="5">
        <f t="shared" si="298"/>
        <v>93.482328682275465</v>
      </c>
      <c r="CD206" s="580">
        <f t="shared" si="327"/>
        <v>-50</v>
      </c>
      <c r="CE206">
        <f t="shared" si="328"/>
        <v>-50</v>
      </c>
    </row>
    <row r="207" spans="5:83" x14ac:dyDescent="0.2">
      <c r="E207" s="175">
        <v>97</v>
      </c>
      <c r="F207" s="222">
        <f t="shared" ref="F207:F210" si="347">IF(PLOT_TYPE=1, E207/100*Iout_max, min_I*EXP(N207*rr/100))</f>
        <v>0.38800000000000001</v>
      </c>
      <c r="G207" s="222"/>
      <c r="H207" s="222">
        <f t="shared" si="337"/>
        <v>4.6560000000000006</v>
      </c>
      <c r="I207" s="558">
        <f t="shared" si="300"/>
        <v>21.6</v>
      </c>
      <c r="J207" s="453">
        <f t="shared" si="301"/>
        <v>24.5</v>
      </c>
      <c r="K207" s="453">
        <f t="shared" si="302"/>
        <v>46.1</v>
      </c>
      <c r="L207" s="453"/>
      <c r="M207" s="222">
        <f t="shared" si="303"/>
        <v>0.53145336225596529</v>
      </c>
      <c r="N207" s="177">
        <f t="shared" si="338"/>
        <v>7.9064316702819957</v>
      </c>
      <c r="O207" s="177">
        <f t="shared" si="333"/>
        <v>4.6560000000000006</v>
      </c>
      <c r="P207" s="222">
        <f t="shared" si="339"/>
        <v>0.65886930585683301</v>
      </c>
      <c r="Q207" s="222">
        <f t="shared" si="306"/>
        <v>12</v>
      </c>
      <c r="R207" s="222"/>
      <c r="S207" s="177">
        <f t="shared" si="307"/>
        <v>27.639593807185793</v>
      </c>
      <c r="T207" s="553">
        <f t="shared" si="340"/>
        <v>12</v>
      </c>
      <c r="U207" s="222">
        <f t="shared" si="309"/>
        <v>0.85388709869912882</v>
      </c>
      <c r="V207" s="222">
        <f t="shared" si="341"/>
        <v>3.3206720504966114</v>
      </c>
      <c r="W207" s="222">
        <f t="shared" si="311"/>
        <v>2.9276129098255841</v>
      </c>
      <c r="X207" s="202">
        <f t="shared" si="312"/>
        <v>350</v>
      </c>
      <c r="Y207" s="453">
        <f t="shared" si="279"/>
        <v>160.04391706687377</v>
      </c>
      <c r="AA207" s="222">
        <f t="shared" si="313"/>
        <v>0.39045553145336231</v>
      </c>
      <c r="AB207" s="178">
        <f t="shared" si="342"/>
        <v>1.3387046792686708</v>
      </c>
      <c r="AC207" s="178">
        <f t="shared" si="343"/>
        <v>0.18294662645103313</v>
      </c>
      <c r="AD207" s="178"/>
      <c r="AE207" s="178">
        <f t="shared" si="316"/>
        <v>0.99428571428571422</v>
      </c>
      <c r="AF207" s="562">
        <f t="shared" si="344"/>
        <v>1345.6202933016255</v>
      </c>
      <c r="AG207" s="545">
        <f t="shared" si="318"/>
        <v>0.10091999999999998</v>
      </c>
      <c r="AI207" s="178">
        <f t="shared" si="319"/>
        <v>0.56862407030773277</v>
      </c>
      <c r="AJ207" s="178">
        <f t="shared" si="345"/>
        <v>0.85388709869912882</v>
      </c>
      <c r="AK207" s="178">
        <f t="shared" si="346"/>
        <v>1.6176941471845399</v>
      </c>
      <c r="AM207" s="562">
        <f t="shared" si="322"/>
        <v>388</v>
      </c>
      <c r="AN207" s="471">
        <f t="shared" si="323"/>
        <v>160.04391706687377</v>
      </c>
      <c r="AP207">
        <f t="shared" si="324"/>
        <v>388</v>
      </c>
      <c r="AQ207">
        <f t="shared" si="325"/>
        <v>160.04391706687377</v>
      </c>
      <c r="AS207" s="5">
        <f t="shared" si="334"/>
        <v>6.248284960322195</v>
      </c>
      <c r="AT207" s="5">
        <f t="shared" si="326"/>
        <v>3.3206720504966114</v>
      </c>
      <c r="AU207" s="5">
        <f t="shared" si="280"/>
        <v>2.9276129098255836</v>
      </c>
      <c r="AV207" s="5"/>
      <c r="AW207" s="178">
        <f t="shared" si="281"/>
        <v>0.53145336225596529</v>
      </c>
      <c r="AX207" s="178">
        <f t="shared" si="330"/>
        <v>4.9010526315789491</v>
      </c>
      <c r="AY207" s="178">
        <f t="shared" si="331"/>
        <v>0.40008592910848551</v>
      </c>
      <c r="AZ207" s="178">
        <f t="shared" si="335"/>
        <v>12.250000000000004</v>
      </c>
      <c r="BD207" s="178">
        <f t="shared" si="336"/>
        <v>0.3593953088582848</v>
      </c>
      <c r="BE207" s="178">
        <f t="shared" si="332"/>
        <v>0.67491057505103591</v>
      </c>
      <c r="BG207" s="545">
        <f t="shared" si="282"/>
        <v>4.5207745810269671E-2</v>
      </c>
      <c r="BH207" s="545">
        <f t="shared" si="283"/>
        <v>4.7250000000000007E-2</v>
      </c>
      <c r="BI207" s="545">
        <f t="shared" si="284"/>
        <v>2.0005489633359223E-3</v>
      </c>
      <c r="BJ207" s="545">
        <f t="shared" si="285"/>
        <v>1.7006346649484541E-2</v>
      </c>
      <c r="BK207">
        <f t="shared" si="286"/>
        <v>6.2640000000000005E-3</v>
      </c>
      <c r="BM207" s="471">
        <f t="shared" si="287"/>
        <v>117.72864142309014</v>
      </c>
      <c r="BN207" s="545">
        <f t="shared" si="288"/>
        <v>0.1164</v>
      </c>
      <c r="BQ207" s="471">
        <f t="shared" si="289"/>
        <v>116.4</v>
      </c>
      <c r="BR207" s="545">
        <f t="shared" si="290"/>
        <v>1.2270673862787483E-2</v>
      </c>
      <c r="BS207" s="545">
        <f t="shared" si="291"/>
        <v>4.0995385588414798E-2</v>
      </c>
      <c r="BT207" s="545">
        <f t="shared" si="292"/>
        <v>1.0916139186003959E-2</v>
      </c>
      <c r="BU207" s="545"/>
      <c r="BV207" s="545">
        <f t="shared" si="293"/>
        <v>2.6255639097744372E-2</v>
      </c>
      <c r="BW207" s="471">
        <f t="shared" si="294"/>
        <v>90.43783773495062</v>
      </c>
      <c r="BX207" s="178">
        <f t="shared" si="295"/>
        <v>0.32456647915804077</v>
      </c>
      <c r="BY207" s="5">
        <f t="shared" si="296"/>
        <v>4.6560000000000006</v>
      </c>
      <c r="BZ207" s="178">
        <f t="shared" si="297"/>
        <v>0.9348334209539737</v>
      </c>
      <c r="CA207" s="5">
        <f t="shared" si="298"/>
        <v>93.483342095397376</v>
      </c>
      <c r="CD207" s="580">
        <f t="shared" si="327"/>
        <v>-50</v>
      </c>
      <c r="CE207">
        <f t="shared" si="328"/>
        <v>-50</v>
      </c>
    </row>
    <row r="208" spans="5:83" x14ac:dyDescent="0.2">
      <c r="E208" s="175">
        <v>98</v>
      </c>
      <c r="F208" s="222">
        <f t="shared" si="347"/>
        <v>0.39200000000000002</v>
      </c>
      <c r="G208" s="222"/>
      <c r="H208" s="222">
        <f t="shared" si="337"/>
        <v>4.7040000000000006</v>
      </c>
      <c r="I208" s="558">
        <f t="shared" si="300"/>
        <v>21.6</v>
      </c>
      <c r="J208" s="453">
        <f t="shared" si="301"/>
        <v>24.5</v>
      </c>
      <c r="K208" s="453">
        <f t="shared" si="302"/>
        <v>46.1</v>
      </c>
      <c r="L208" s="453"/>
      <c r="M208" s="222">
        <f t="shared" si="303"/>
        <v>0.53145336225596529</v>
      </c>
      <c r="N208" s="177">
        <f t="shared" si="338"/>
        <v>7.9064316702819957</v>
      </c>
      <c r="O208" s="177">
        <f t="shared" si="333"/>
        <v>4.7040000000000006</v>
      </c>
      <c r="P208" s="222">
        <f t="shared" si="339"/>
        <v>0.65886930585683301</v>
      </c>
      <c r="Q208" s="222">
        <f t="shared" si="306"/>
        <v>12</v>
      </c>
      <c r="R208" s="222"/>
      <c r="S208" s="177">
        <f t="shared" si="307"/>
        <v>27.249713453479497</v>
      </c>
      <c r="T208" s="553">
        <f t="shared" si="340"/>
        <v>12</v>
      </c>
      <c r="U208" s="222">
        <f t="shared" si="309"/>
        <v>0.86269005847953228</v>
      </c>
      <c r="V208" s="222">
        <f t="shared" si="341"/>
        <v>3.3549057829759583</v>
      </c>
      <c r="W208" s="222">
        <f t="shared" si="311"/>
        <v>2.9577944862155392</v>
      </c>
      <c r="X208" s="202">
        <f t="shared" si="312"/>
        <v>350</v>
      </c>
      <c r="Y208" s="453">
        <f t="shared" si="279"/>
        <v>158.41081587231378</v>
      </c>
      <c r="AA208" s="222">
        <f t="shared" si="313"/>
        <v>0.39045553145336231</v>
      </c>
      <c r="AB208" s="178">
        <f t="shared" si="342"/>
        <v>1.3387046792686708</v>
      </c>
      <c r="AC208" s="178">
        <f t="shared" si="343"/>
        <v>0.18294662645103313</v>
      </c>
      <c r="AD208" s="178"/>
      <c r="AE208" s="178">
        <f t="shared" si="316"/>
        <v>0.99428571428571422</v>
      </c>
      <c r="AF208" s="562">
        <f t="shared" si="344"/>
        <v>1359.4926674593742</v>
      </c>
      <c r="AG208" s="545">
        <f t="shared" si="318"/>
        <v>0.10091999999999998</v>
      </c>
      <c r="AI208" s="178">
        <f t="shared" si="319"/>
        <v>0.57154760664940829</v>
      </c>
      <c r="AJ208" s="178">
        <f t="shared" si="345"/>
        <v>0.86269005847953228</v>
      </c>
      <c r="AK208" s="178">
        <f t="shared" si="346"/>
        <v>1.6242148581329867</v>
      </c>
      <c r="AM208" s="562">
        <f t="shared" si="322"/>
        <v>392</v>
      </c>
      <c r="AN208" s="471">
        <f t="shared" si="323"/>
        <v>158.41081587231378</v>
      </c>
      <c r="AP208">
        <f t="shared" si="324"/>
        <v>392</v>
      </c>
      <c r="AQ208">
        <f t="shared" si="325"/>
        <v>158.41081587231378</v>
      </c>
      <c r="AS208" s="5">
        <f t="shared" si="334"/>
        <v>6.312700269191498</v>
      </c>
      <c r="AT208" s="5">
        <f t="shared" si="326"/>
        <v>3.3549057829759583</v>
      </c>
      <c r="AU208" s="5">
        <f t="shared" si="280"/>
        <v>2.9577944862155396</v>
      </c>
      <c r="AV208" s="5"/>
      <c r="AW208" s="178">
        <f t="shared" si="281"/>
        <v>0.53145336225596518</v>
      </c>
      <c r="AX208" s="178">
        <f t="shared" si="330"/>
        <v>4.9515789473684224</v>
      </c>
      <c r="AY208" s="178">
        <f t="shared" si="331"/>
        <v>0.40421052631578963</v>
      </c>
      <c r="AZ208" s="178">
        <f t="shared" si="335"/>
        <v>12.249999999999998</v>
      </c>
      <c r="BD208" s="178">
        <f t="shared" si="336"/>
        <v>0.36310041513517433</v>
      </c>
      <c r="BE208" s="178">
        <f t="shared" si="332"/>
        <v>0.68186841603094372</v>
      </c>
      <c r="BG208" s="545">
        <f t="shared" si="282"/>
        <v>4.6144669014967568E-2</v>
      </c>
      <c r="BH208" s="545">
        <f t="shared" si="283"/>
        <v>4.7249999999999993E-2</v>
      </c>
      <c r="BI208" s="545">
        <f t="shared" si="284"/>
        <v>1.9801351984039218E-3</v>
      </c>
      <c r="BJ208" s="545">
        <f t="shared" si="285"/>
        <v>1.6832812499999995E-2</v>
      </c>
      <c r="BK208">
        <f t="shared" si="286"/>
        <v>6.2640000000000005E-3</v>
      </c>
      <c r="BM208" s="471">
        <f t="shared" si="287"/>
        <v>118.47161671337149</v>
      </c>
      <c r="BN208" s="545">
        <f t="shared" si="288"/>
        <v>0.1176</v>
      </c>
      <c r="BQ208" s="471">
        <f t="shared" si="289"/>
        <v>117.6</v>
      </c>
      <c r="BR208" s="545">
        <f t="shared" si="290"/>
        <v>1.2524981589776912E-2</v>
      </c>
      <c r="BS208" s="545">
        <f t="shared" si="291"/>
        <v>4.1845008310249329E-2</v>
      </c>
      <c r="BT208" s="545">
        <f t="shared" si="292"/>
        <v>1.091613918600394E-2</v>
      </c>
      <c r="BU208" s="545"/>
      <c r="BV208" s="545">
        <f t="shared" si="293"/>
        <v>2.6526315789473693E-2</v>
      </c>
      <c r="BW208" s="471">
        <f t="shared" si="294"/>
        <v>91.812444875503871</v>
      </c>
      <c r="BX208" s="178">
        <f t="shared" si="295"/>
        <v>0.32788406158887534</v>
      </c>
      <c r="BY208" s="5">
        <f t="shared" si="296"/>
        <v>4.7040000000000006</v>
      </c>
      <c r="BZ208" s="178">
        <f t="shared" si="297"/>
        <v>0.93483870900528221</v>
      </c>
      <c r="CA208" s="5">
        <f t="shared" si="298"/>
        <v>93.483870900528217</v>
      </c>
      <c r="CD208" s="580">
        <f t="shared" si="327"/>
        <v>-50</v>
      </c>
      <c r="CE208">
        <f t="shared" si="328"/>
        <v>-50</v>
      </c>
    </row>
    <row r="209" spans="5:85" x14ac:dyDescent="0.2">
      <c r="E209" s="175">
        <v>99</v>
      </c>
      <c r="F209" s="222">
        <f t="shared" si="347"/>
        <v>0.39600000000000002</v>
      </c>
      <c r="G209" s="222"/>
      <c r="H209" s="222">
        <f t="shared" si="337"/>
        <v>4.7520000000000007</v>
      </c>
      <c r="I209" s="558">
        <f t="shared" si="300"/>
        <v>21.6</v>
      </c>
      <c r="J209" s="453">
        <f t="shared" si="301"/>
        <v>24.5</v>
      </c>
      <c r="K209" s="453">
        <f t="shared" si="302"/>
        <v>46.1</v>
      </c>
      <c r="L209" s="453"/>
      <c r="M209" s="222">
        <f t="shared" si="303"/>
        <v>0.53145336225596529</v>
      </c>
      <c r="N209" s="177">
        <f t="shared" si="338"/>
        <v>7.9064316702819957</v>
      </c>
      <c r="O209" s="177">
        <f t="shared" si="333"/>
        <v>4.7520000000000007</v>
      </c>
      <c r="P209" s="222">
        <f t="shared" si="339"/>
        <v>0.65886930585683301</v>
      </c>
      <c r="Q209" s="222">
        <f t="shared" si="306"/>
        <v>12</v>
      </c>
      <c r="R209" s="222"/>
      <c r="S209" s="177">
        <f t="shared" si="307"/>
        <v>26.867747609518126</v>
      </c>
      <c r="T209" s="553">
        <f t="shared" si="340"/>
        <v>12</v>
      </c>
      <c r="U209" s="222">
        <f t="shared" si="309"/>
        <v>0.87149301825993564</v>
      </c>
      <c r="V209" s="222">
        <f t="shared" si="341"/>
        <v>3.3891395154553048</v>
      </c>
      <c r="W209" s="222">
        <f t="shared" si="311"/>
        <v>2.9879760626054939</v>
      </c>
      <c r="X209" s="202">
        <f t="shared" si="312"/>
        <v>350</v>
      </c>
      <c r="Y209" s="453">
        <f t="shared" si="279"/>
        <v>156.81070662107828</v>
      </c>
      <c r="AA209" s="222">
        <f t="shared" si="313"/>
        <v>0.39045553145336231</v>
      </c>
      <c r="AB209" s="178">
        <f t="shared" si="342"/>
        <v>1.3387046792686708</v>
      </c>
      <c r="AC209" s="178">
        <f t="shared" si="343"/>
        <v>0.18294662645103313</v>
      </c>
      <c r="AD209" s="178"/>
      <c r="AE209" s="178">
        <f t="shared" si="316"/>
        <v>0.99428571428571422</v>
      </c>
      <c r="AF209" s="562">
        <f t="shared" si="344"/>
        <v>1373.3650416171229</v>
      </c>
      <c r="AG209" s="545">
        <f t="shared" si="318"/>
        <v>0.10091999999999998</v>
      </c>
      <c r="AI209" s="178">
        <f t="shared" si="319"/>
        <v>0.57445626465380284</v>
      </c>
      <c r="AJ209" s="178">
        <f t="shared" si="345"/>
        <v>0.87149301825993564</v>
      </c>
      <c r="AK209" s="178">
        <f t="shared" si="346"/>
        <v>1.6307355690814338</v>
      </c>
      <c r="AM209" s="562">
        <f t="shared" si="322"/>
        <v>396</v>
      </c>
      <c r="AN209" s="471">
        <f t="shared" si="323"/>
        <v>156.81070662107828</v>
      </c>
      <c r="AP209">
        <f t="shared" si="324"/>
        <v>396</v>
      </c>
      <c r="AQ209">
        <f t="shared" si="325"/>
        <v>156.81070662107828</v>
      </c>
      <c r="AS209" s="5">
        <f t="shared" si="334"/>
        <v>6.3771155780607991</v>
      </c>
      <c r="AT209" s="5">
        <f t="shared" si="326"/>
        <v>3.3891395154553048</v>
      </c>
      <c r="AU209" s="5">
        <f t="shared" si="280"/>
        <v>2.9879760626054943</v>
      </c>
      <c r="AV209" s="5"/>
      <c r="AW209" s="178">
        <f t="shared" si="281"/>
        <v>0.53145336225596518</v>
      </c>
      <c r="AX209" s="178">
        <f t="shared" si="330"/>
        <v>5.0021052631578948</v>
      </c>
      <c r="AY209" s="178">
        <f t="shared" si="331"/>
        <v>0.40833512352309359</v>
      </c>
      <c r="AZ209" s="178">
        <f t="shared" si="335"/>
        <v>12.249999999999996</v>
      </c>
      <c r="BD209" s="178">
        <f t="shared" si="336"/>
        <v>0.36680552141206385</v>
      </c>
      <c r="BE209" s="178">
        <f t="shared" si="332"/>
        <v>0.68882625701085121</v>
      </c>
      <c r="BG209" s="545">
        <f t="shared" si="282"/>
        <v>4.7091201688431603E-2</v>
      </c>
      <c r="BH209" s="545">
        <f t="shared" si="283"/>
        <v>4.7249999999999993E-2</v>
      </c>
      <c r="BI209" s="545">
        <f t="shared" si="284"/>
        <v>1.9601338327634782E-3</v>
      </c>
      <c r="BJ209" s="545">
        <f t="shared" si="285"/>
        <v>1.6662784090909089E-2</v>
      </c>
      <c r="BK209">
        <f t="shared" si="286"/>
        <v>6.2640000000000005E-3</v>
      </c>
      <c r="BM209" s="471">
        <f t="shared" si="287"/>
        <v>119.22811961210417</v>
      </c>
      <c r="BN209" s="545">
        <f t="shared" si="288"/>
        <v>0.1188</v>
      </c>
      <c r="BQ209" s="471">
        <f t="shared" si="289"/>
        <v>118.8</v>
      </c>
      <c r="BR209" s="545">
        <f t="shared" si="290"/>
        <v>1.2781897601145722E-2</v>
      </c>
      <c r="BS209" s="545">
        <f t="shared" si="291"/>
        <v>4.2703345111282133E-2</v>
      </c>
      <c r="BT209" s="545">
        <f t="shared" si="292"/>
        <v>1.091613918600394E-2</v>
      </c>
      <c r="BU209" s="545"/>
      <c r="BV209" s="545">
        <f t="shared" si="293"/>
        <v>2.679699248120301E-2</v>
      </c>
      <c r="BW209" s="471">
        <f t="shared" si="294"/>
        <v>93.198374379634814</v>
      </c>
      <c r="BX209" s="178">
        <f t="shared" si="295"/>
        <v>0.33122649399173898</v>
      </c>
      <c r="BY209" s="5">
        <f t="shared" si="296"/>
        <v>4.7520000000000007</v>
      </c>
      <c r="BZ209" s="178">
        <f t="shared" si="297"/>
        <v>0.9348393201870423</v>
      </c>
      <c r="CA209" s="5">
        <f t="shared" si="298"/>
        <v>93.483932018704223</v>
      </c>
      <c r="CD209" s="580">
        <f t="shared" si="327"/>
        <v>-50</v>
      </c>
      <c r="CE209">
        <f t="shared" si="328"/>
        <v>-50</v>
      </c>
    </row>
    <row r="210" spans="5:85" x14ac:dyDescent="0.2">
      <c r="E210" s="175">
        <v>100</v>
      </c>
      <c r="F210" s="222">
        <f t="shared" si="347"/>
        <v>0.4</v>
      </c>
      <c r="G210" s="222"/>
      <c r="H210" s="222">
        <f t="shared" si="337"/>
        <v>4.8000000000000007</v>
      </c>
      <c r="I210" s="558">
        <f t="shared" si="300"/>
        <v>21.6</v>
      </c>
      <c r="J210" s="453">
        <f t="shared" si="301"/>
        <v>24.5</v>
      </c>
      <c r="K210" s="453">
        <f t="shared" si="302"/>
        <v>46.1</v>
      </c>
      <c r="L210" s="453"/>
      <c r="M210" s="222">
        <f t="shared" si="303"/>
        <v>0.53145336225596529</v>
      </c>
      <c r="N210" s="177">
        <f t="shared" si="338"/>
        <v>7.9064316702819957</v>
      </c>
      <c r="O210" s="177">
        <f t="shared" si="333"/>
        <v>4.8000000000000007</v>
      </c>
      <c r="P210" s="222">
        <f t="shared" si="339"/>
        <v>0.65886930585683301</v>
      </c>
      <c r="Q210" s="222">
        <f t="shared" si="306"/>
        <v>12</v>
      </c>
      <c r="R210" s="222"/>
      <c r="S210" s="177">
        <f t="shared" si="307"/>
        <v>26.493459265337055</v>
      </c>
      <c r="T210" s="553">
        <f t="shared" si="340"/>
        <v>12</v>
      </c>
      <c r="U210" s="222">
        <f t="shared" si="309"/>
        <v>0.8802959780403391</v>
      </c>
      <c r="V210" s="222">
        <f t="shared" si="341"/>
        <v>3.4233732479346517</v>
      </c>
      <c r="W210" s="222">
        <f t="shared" si="311"/>
        <v>3.0181576389954485</v>
      </c>
      <c r="X210" s="202">
        <f t="shared" si="312"/>
        <v>350</v>
      </c>
      <c r="Y210" s="453">
        <f t="shared" si="279"/>
        <v>155.2425995548675</v>
      </c>
      <c r="AA210" s="222">
        <f t="shared" si="313"/>
        <v>0.39045553145336231</v>
      </c>
      <c r="AB210" s="178">
        <f t="shared" si="342"/>
        <v>1.3387046792686708</v>
      </c>
      <c r="AC210" s="178">
        <f t="shared" si="343"/>
        <v>0.18294662645103313</v>
      </c>
      <c r="AD210" s="178"/>
      <c r="AE210" s="178">
        <f t="shared" si="316"/>
        <v>0.99428571428571422</v>
      </c>
      <c r="AF210" s="562">
        <f t="shared" si="344"/>
        <v>1387.2374157748716</v>
      </c>
      <c r="AG210" s="545">
        <f t="shared" si="318"/>
        <v>0.10091999999999998</v>
      </c>
      <c r="AI210" s="178">
        <f t="shared" si="319"/>
        <v>0.57735026918962584</v>
      </c>
      <c r="AJ210" s="178">
        <f t="shared" si="345"/>
        <v>0.8802959780403391</v>
      </c>
      <c r="AK210" s="178">
        <f t="shared" si="346"/>
        <v>1.6372562800298809</v>
      </c>
      <c r="AM210" s="562">
        <f t="shared" si="322"/>
        <v>400</v>
      </c>
      <c r="AN210" s="471">
        <f t="shared" si="323"/>
        <v>155.2425995548675</v>
      </c>
      <c r="AP210">
        <f t="shared" si="324"/>
        <v>400</v>
      </c>
      <c r="AQ210">
        <f t="shared" si="325"/>
        <v>155.2425995548675</v>
      </c>
      <c r="AS210" s="5">
        <f t="shared" si="334"/>
        <v>6.4415308869301002</v>
      </c>
      <c r="AT210" s="5">
        <f t="shared" si="326"/>
        <v>3.4233732479346517</v>
      </c>
      <c r="AU210" s="5">
        <f t="shared" si="280"/>
        <v>3.0181576389954485</v>
      </c>
      <c r="AV210" s="5"/>
      <c r="AW210" s="178">
        <f t="shared" si="281"/>
        <v>0.53145336225596529</v>
      </c>
      <c r="AX210" s="178">
        <f t="shared" si="330"/>
        <v>5.052631578947369</v>
      </c>
      <c r="AY210" s="178">
        <f t="shared" si="331"/>
        <v>0.41245972073039749</v>
      </c>
      <c r="AZ210" s="178">
        <f t="shared" si="335"/>
        <v>12.25</v>
      </c>
      <c r="BD210" s="178">
        <f t="shared" si="336"/>
        <v>0.37051062768895343</v>
      </c>
      <c r="BE210" s="178">
        <f t="shared" si="332"/>
        <v>0.6957840979907588</v>
      </c>
      <c r="BG210" s="545">
        <f t="shared" si="282"/>
        <v>4.8047343830661789E-2</v>
      </c>
      <c r="BH210" s="545">
        <f t="shared" si="283"/>
        <v>4.7249999999999993E-2</v>
      </c>
      <c r="BI210" s="545">
        <f t="shared" si="284"/>
        <v>1.9405324944358436E-3</v>
      </c>
      <c r="BJ210" s="545">
        <f t="shared" si="285"/>
        <v>1.6496156249999998E-2</v>
      </c>
      <c r="BK210">
        <f t="shared" si="286"/>
        <v>6.2640000000000005E-3</v>
      </c>
      <c r="BM210" s="471">
        <f t="shared" si="287"/>
        <v>119.99803257509762</v>
      </c>
      <c r="BN210" s="545">
        <f t="shared" si="288"/>
        <v>0.12</v>
      </c>
      <c r="BQ210" s="471">
        <f t="shared" si="289"/>
        <v>120</v>
      </c>
      <c r="BR210" s="545">
        <f t="shared" si="290"/>
        <v>1.3041421896893914E-2</v>
      </c>
      <c r="BS210" s="545">
        <f t="shared" si="291"/>
        <v>4.3570395991513244E-2</v>
      </c>
      <c r="BT210" s="545">
        <f t="shared" si="292"/>
        <v>1.0916139186003938E-2</v>
      </c>
      <c r="BU210" s="545"/>
      <c r="BV210" s="545">
        <f t="shared" si="293"/>
        <v>2.7067669172932341E-2</v>
      </c>
      <c r="BW210" s="471">
        <f t="shared" si="294"/>
        <v>94.595626247343446</v>
      </c>
      <c r="BX210" s="178">
        <f t="shared" si="295"/>
        <v>0.33459365882244102</v>
      </c>
      <c r="BY210" s="5">
        <f t="shared" si="296"/>
        <v>4.8000000000000007</v>
      </c>
      <c r="BZ210" s="178">
        <f t="shared" si="297"/>
        <v>0.93483541618769961</v>
      </c>
      <c r="CA210" s="5">
        <f t="shared" si="298"/>
        <v>93.483541618769962</v>
      </c>
      <c r="CD210" s="580">
        <f t="shared" si="327"/>
        <v>-50</v>
      </c>
      <c r="CE210">
        <f t="shared" si="328"/>
        <v>-50</v>
      </c>
    </row>
    <row r="211" spans="5:85" x14ac:dyDescent="0.2">
      <c r="E211" s="175"/>
      <c r="F211" s="222"/>
      <c r="G211" s="222"/>
      <c r="H211" s="222"/>
      <c r="I211" s="558"/>
      <c r="J211" s="453"/>
      <c r="K211" s="453"/>
      <c r="L211" s="453"/>
      <c r="M211" s="222"/>
      <c r="N211" s="177"/>
      <c r="O211" s="177"/>
      <c r="P211" s="222"/>
      <c r="Q211" s="222"/>
      <c r="R211" s="222"/>
      <c r="S211" s="177"/>
      <c r="T211" s="177"/>
      <c r="U211" s="222"/>
      <c r="V211" s="222"/>
      <c r="W211" s="222"/>
      <c r="X211" s="202"/>
      <c r="Y211" s="453"/>
      <c r="AA211" s="222"/>
      <c r="AB211" s="178"/>
      <c r="AC211" s="178"/>
      <c r="AD211" s="178"/>
      <c r="AE211" s="178"/>
      <c r="AF211" s="562"/>
      <c r="AI211" s="178"/>
      <c r="AJ211" s="178"/>
      <c r="AK211" s="178"/>
      <c r="AM211" s="562"/>
      <c r="AN211" s="471"/>
      <c r="AS211" s="5"/>
      <c r="AT211" s="5"/>
      <c r="AU211" s="5"/>
      <c r="AV211" s="5"/>
      <c r="AW211" s="178"/>
      <c r="AX211" s="178"/>
      <c r="CD211" s="580"/>
      <c r="CF211" s="547">
        <f>MAX(CE110:CE210)</f>
        <v>-50</v>
      </c>
      <c r="CG211" s="77" t="s">
        <v>45</v>
      </c>
    </row>
    <row r="212" spans="5:85" x14ac:dyDescent="0.2">
      <c r="H212" s="222"/>
      <c r="I212" s="558"/>
      <c r="J212" s="453"/>
      <c r="K212" s="453"/>
      <c r="L212" s="453"/>
      <c r="M212" s="222"/>
      <c r="N212" s="549">
        <f>M210*I210*Isw_max*0.5*Efficiency</f>
        <v>7.9064316702819957</v>
      </c>
      <c r="O212" s="177"/>
      <c r="P212" s="222"/>
      <c r="Q212" s="222"/>
      <c r="R212" s="222"/>
      <c r="S212" s="177"/>
      <c r="T212" s="177"/>
      <c r="U212" s="222"/>
      <c r="V212" s="222"/>
      <c r="W212" s="222"/>
      <c r="X212" s="202"/>
      <c r="Y212" s="453"/>
      <c r="AA212" s="222"/>
      <c r="AB212" s="178"/>
      <c r="AC212" s="178"/>
      <c r="AD212" s="178"/>
      <c r="AE212" s="178"/>
      <c r="AF212" s="562"/>
      <c r="AI212" s="178"/>
      <c r="AJ212" s="178"/>
      <c r="AK212" s="178"/>
      <c r="AM212" s="562"/>
      <c r="AN212" s="471"/>
      <c r="AS212" s="5"/>
      <c r="AT212" s="5"/>
      <c r="AU212" s="5"/>
      <c r="AV212" s="5"/>
      <c r="AW212" s="178"/>
      <c r="AX212" s="178"/>
      <c r="CD212" s="580"/>
    </row>
    <row r="213" spans="5:85" x14ac:dyDescent="0.2">
      <c r="H213" s="222"/>
      <c r="I213" s="558"/>
      <c r="J213" s="453"/>
      <c r="K213" s="453"/>
      <c r="L213" s="453"/>
      <c r="M213" s="222"/>
      <c r="N213" s="177"/>
      <c r="O213" s="177"/>
      <c r="P213" s="222"/>
      <c r="Q213" s="222"/>
      <c r="R213" s="222"/>
      <c r="S213" s="177"/>
      <c r="T213" s="177"/>
      <c r="U213" s="222"/>
      <c r="V213" s="222"/>
      <c r="W213" s="222"/>
      <c r="X213" s="202"/>
      <c r="Y213" s="453"/>
      <c r="AA213" s="222"/>
      <c r="AB213" s="178"/>
      <c r="AC213" s="178"/>
      <c r="AD213" s="178"/>
      <c r="AE213" s="178"/>
      <c r="AF213" s="562"/>
      <c r="AI213" s="178"/>
      <c r="AJ213" s="178"/>
      <c r="AK213" s="178"/>
      <c r="AM213" s="562"/>
      <c r="AN213" s="471"/>
      <c r="AS213" s="5"/>
      <c r="AT213" s="5"/>
      <c r="AU213" s="5"/>
      <c r="AV213" s="5"/>
      <c r="AW213" s="178"/>
      <c r="AX213" s="178"/>
      <c r="CD213" s="580"/>
    </row>
    <row r="214" spans="5:85" x14ac:dyDescent="0.2">
      <c r="E214" s="455" t="s">
        <v>446</v>
      </c>
      <c r="H214" s="222"/>
      <c r="I214" s="558"/>
      <c r="J214" s="453"/>
      <c r="K214" s="453"/>
      <c r="L214" s="453"/>
      <c r="M214" s="222"/>
      <c r="N214" s="177"/>
      <c r="O214" s="177"/>
      <c r="P214" s="222"/>
      <c r="Q214" s="222"/>
      <c r="R214" s="222"/>
      <c r="S214" s="177"/>
      <c r="T214" s="177"/>
      <c r="U214" s="222"/>
      <c r="V214" s="222"/>
      <c r="W214" s="222"/>
      <c r="X214" s="202"/>
      <c r="Y214" s="453"/>
      <c r="AA214" s="222"/>
      <c r="AB214" s="178"/>
      <c r="AC214" s="178"/>
      <c r="AD214" s="178"/>
      <c r="AE214" s="178"/>
      <c r="AF214" s="562"/>
      <c r="AI214" s="178"/>
      <c r="AJ214" s="178"/>
      <c r="AK214" s="178"/>
      <c r="AM214" s="562"/>
      <c r="AN214" s="471"/>
      <c r="AS214" s="5"/>
      <c r="AT214" s="5"/>
      <c r="AU214" s="5"/>
      <c r="AV214" s="5"/>
      <c r="AW214" s="178"/>
      <c r="AX214" s="178"/>
      <c r="CD214" s="580"/>
    </row>
    <row r="215" spans="5:85" ht="45" customHeight="1" thickBot="1" x14ac:dyDescent="0.25">
      <c r="E215" s="246" t="s">
        <v>25</v>
      </c>
      <c r="F215" s="454" t="s">
        <v>195</v>
      </c>
      <c r="G215" s="265"/>
      <c r="H215" s="544" t="s">
        <v>224</v>
      </c>
      <c r="I215" s="247" t="s">
        <v>423</v>
      </c>
      <c r="J215" s="248" t="s">
        <v>429</v>
      </c>
      <c r="K215" s="544" t="s">
        <v>424</v>
      </c>
      <c r="L215" s="544"/>
      <c r="M215" s="249" t="s">
        <v>48</v>
      </c>
      <c r="N215" s="544" t="s">
        <v>413</v>
      </c>
      <c r="O215" s="177"/>
      <c r="P215" s="544" t="s">
        <v>414</v>
      </c>
      <c r="Q215" s="544" t="s">
        <v>444</v>
      </c>
      <c r="R215" s="544"/>
      <c r="S215" s="177"/>
      <c r="T215" s="177"/>
      <c r="U215" s="544" t="s">
        <v>425</v>
      </c>
      <c r="V215" s="544" t="s">
        <v>477</v>
      </c>
      <c r="W215" s="544" t="s">
        <v>476</v>
      </c>
      <c r="X215" s="564" t="s">
        <v>431</v>
      </c>
      <c r="Y215" s="559" t="s">
        <v>436</v>
      </c>
      <c r="AA215" s="250" t="s">
        <v>428</v>
      </c>
      <c r="AB215" s="250" t="s">
        <v>475</v>
      </c>
      <c r="AC215" s="250" t="s">
        <v>434</v>
      </c>
      <c r="AD215" s="561"/>
      <c r="AE215" s="250" t="s">
        <v>474</v>
      </c>
      <c r="AF215" s="250" t="s">
        <v>437</v>
      </c>
      <c r="AG215" s="250" t="s">
        <v>438</v>
      </c>
      <c r="AH215" s="561"/>
      <c r="AI215" s="250" t="s">
        <v>440</v>
      </c>
      <c r="AJ215" s="565" t="s">
        <v>441</v>
      </c>
      <c r="AK215" s="565" t="s">
        <v>442</v>
      </c>
      <c r="AM215" s="560" t="s">
        <v>276</v>
      </c>
      <c r="AN215" s="560" t="s">
        <v>443</v>
      </c>
      <c r="AP215" s="250" t="s">
        <v>276</v>
      </c>
      <c r="AQ215" s="250" t="s">
        <v>443</v>
      </c>
      <c r="AR215" s="566"/>
      <c r="AS215" s="250" t="s">
        <v>478</v>
      </c>
      <c r="AT215" s="5"/>
      <c r="AU215" s="5"/>
      <c r="AV215" s="5"/>
      <c r="AW215" s="178"/>
      <c r="AX215" s="178"/>
      <c r="AY215" s="561"/>
      <c r="AZ215" s="561"/>
      <c r="BA215" s="250" t="s">
        <v>493</v>
      </c>
      <c r="BB215" s="250" t="s">
        <v>494</v>
      </c>
      <c r="BC215" s="561"/>
      <c r="BD215" s="575" t="s">
        <v>467</v>
      </c>
      <c r="BE215" s="250" t="s">
        <v>468</v>
      </c>
      <c r="BF215" s="561"/>
      <c r="BG215" s="575" t="s">
        <v>485</v>
      </c>
      <c r="BH215" s="250" t="s">
        <v>486</v>
      </c>
      <c r="BI215" s="250" t="s">
        <v>484</v>
      </c>
      <c r="BJ215" s="250" t="s">
        <v>480</v>
      </c>
      <c r="BK215" s="250" t="s">
        <v>489</v>
      </c>
      <c r="BL215" s="250"/>
      <c r="BM215" s="250" t="s">
        <v>504</v>
      </c>
      <c r="BN215" s="575" t="s">
        <v>487</v>
      </c>
      <c r="BO215" s="250" t="s">
        <v>488</v>
      </c>
      <c r="BP215" s="250" t="s">
        <v>496</v>
      </c>
      <c r="BQ215" s="250" t="s">
        <v>500</v>
      </c>
      <c r="BR215" s="575" t="s">
        <v>469</v>
      </c>
      <c r="BS215" s="250" t="s">
        <v>470</v>
      </c>
      <c r="BT215" s="250" t="s">
        <v>479</v>
      </c>
      <c r="BU215" s="250"/>
      <c r="BV215" s="250" t="s">
        <v>497</v>
      </c>
      <c r="BW215" s="250" t="s">
        <v>499</v>
      </c>
      <c r="BX215" s="575" t="s">
        <v>495</v>
      </c>
      <c r="BY215" s="250" t="s">
        <v>224</v>
      </c>
      <c r="BZ215" s="250" t="s">
        <v>47</v>
      </c>
      <c r="CA215" s="250" t="s">
        <v>498</v>
      </c>
      <c r="CB215" s="250"/>
      <c r="CD215" s="580"/>
    </row>
    <row r="216" spans="5:85" x14ac:dyDescent="0.2">
      <c r="E216" s="175">
        <v>0.1</v>
      </c>
      <c r="F216" s="222">
        <v>1.0000000000000001E-9</v>
      </c>
      <c r="G216" s="222"/>
      <c r="H216" s="222">
        <f t="shared" ref="H216:H247" si="348">F216*Vout</f>
        <v>1.2000000000000002E-8</v>
      </c>
      <c r="I216" s="558">
        <f t="shared" ref="I216:I247" si="349">VIN_max</f>
        <v>26.4</v>
      </c>
      <c r="J216" s="453">
        <f t="shared" ref="J216:J247" si="350">(T216+Vfwd1)*Nps</f>
        <v>24.5</v>
      </c>
      <c r="K216" s="453">
        <f t="shared" ref="K216:K247" si="351">(Vout+Vfwd1)*Nps+I216</f>
        <v>50.9</v>
      </c>
      <c r="L216" s="453"/>
      <c r="M216" s="222">
        <f t="shared" ref="M216:M247" si="352">(Vout+Vfwd1)*Nps/((Vout+Vfwd1)*Nps+I216)</f>
        <v>0.48133595284872299</v>
      </c>
      <c r="N216" s="177">
        <f t="shared" ref="N216:N247" si="353">M216*I216*Isw_max*0.5*Efficiency</f>
        <v>8.7521316306483303</v>
      </c>
      <c r="O216" s="177">
        <f t="shared" si="333"/>
        <v>1.2000000000000002E-8</v>
      </c>
      <c r="P216" s="222">
        <f t="shared" ref="P216:P247" si="354">N216/Vout</f>
        <v>0.72934430255402749</v>
      </c>
      <c r="Q216" s="222">
        <f t="shared" ref="Q216:Q247" si="355">MIN(Vout,N216/F216)</f>
        <v>12</v>
      </c>
      <c r="R216" s="222"/>
      <c r="S216" s="177">
        <f t="shared" ref="S216:S247" si="356">(SQRT(Isw_max^2*Nps^2*I216^2+4*Isw_max*F216/Efficiency*(Nps^2*Vfwd1*I216-Nps*I216^2)+4*(F216/Efficiency)^2*Nps^2*Vfwd1^2+8*(F216/Efficiency)^2*Nps*Vfwd1*I216+4*(F216/Efficiency)^2*I216^2)-2*F216/Efficiency*I216-2*F216/Efficiency*Nps*Vfwd1+Isw_max*Nps*I216)/(4*F216/Efficiency*Nps)</f>
        <v>18182999986.799995</v>
      </c>
      <c r="T216" s="177">
        <f t="shared" ref="T216:T247" si="357">MIN(Vout, S216)</f>
        <v>12</v>
      </c>
      <c r="U216" s="222">
        <f t="shared" ref="U216:U247" si="358">MIN(2*Vout*F216/(Efficiency*I216*M216), Isw_max)</f>
        <v>1.988087100869056E-9</v>
      </c>
      <c r="V216" s="222">
        <f t="shared" ref="V216:V247" si="359">L*U216/I216*1000000</f>
        <v>6.3257316845833597E-9</v>
      </c>
      <c r="W216" s="222">
        <f t="shared" ref="W216:W247" si="360">L*U216/J216*1000000</f>
        <v>6.816298631551048E-9</v>
      </c>
      <c r="X216" s="202">
        <f t="shared" ref="X216:X247" si="361">IF(1/((350000*L)*(1/I216+1/J216))&gt;Isw_min, 350, 0.001/((Isw_min*L)*(1/I216+1/J216)))</f>
        <v>350</v>
      </c>
      <c r="Y216" s="453">
        <f t="shared" ref="Y216:Y275" si="362">MIN(1/(V216+W216)*1000, 350)</f>
        <v>350</v>
      </c>
      <c r="AA216" s="222">
        <f t="shared" ref="AA216:AA247" si="363">1/((X216*1000*L)*(1/I216+1/J216))</f>
        <v>0.4322200392927309</v>
      </c>
      <c r="AB216" s="178">
        <f t="shared" ref="AB216:AB247" si="364">L*AA216/J216*1000000</f>
        <v>1.4818972775750774</v>
      </c>
      <c r="AC216" s="178">
        <f t="shared" ref="AC216:AC247" si="365">0.5*AB216*AA216*Nps*X216/1000</f>
        <v>0.22417699483945183</v>
      </c>
      <c r="AD216" s="178"/>
      <c r="AE216" s="178">
        <f t="shared" ref="AE216:AE247" si="366">L*Isw_min/J216*1000000</f>
        <v>0.99428571428571422</v>
      </c>
      <c r="AF216" s="562">
        <f t="shared" ref="AF216:AF247" si="367">MAX(10000,F216/(0.5*AE216/1000000*Isw_min*Nps))/1000</f>
        <v>10</v>
      </c>
      <c r="AG216" s="545">
        <f t="shared" ref="AG216:AG247" si="368">0.5*AE216/1000000*Isw_min*Nps*X216*1000</f>
        <v>0.10091999999999998</v>
      </c>
      <c r="AI216" s="178">
        <f t="shared" ref="AI216:AI247" si="369">SQRT(F216/(0.5*L/J216*Fsw_DCM*Nps))</f>
        <v>2.8867513459481289E-5</v>
      </c>
      <c r="AJ216" s="178">
        <f t="shared" ref="AJ216:AJ247" si="370">MAX(IF(F216&gt;AC216,U216,AI216),Isw_min)</f>
        <v>0.28999999999999998</v>
      </c>
      <c r="AK216" s="178">
        <f t="shared" ref="AK216:AK247" si="371">IF(F216&gt;AG216, (AJ216-Isw_min)/1.08*0.8+1.2, AF216*0.2/350+1)</f>
        <v>1.0057142857142858</v>
      </c>
      <c r="AM216" s="562">
        <f t="shared" ref="AM216:AM247" si="372">F216*1000</f>
        <v>1.0000000000000002E-6</v>
      </c>
      <c r="AN216" s="471">
        <f t="shared" ref="AN216:AN247" si="373">IF(F216&gt;AG216, Y216, AF216)</f>
        <v>10</v>
      </c>
      <c r="AP216">
        <f t="shared" ref="AP216:AP247" si="374">IF(H216&gt;N216, "",AM216)</f>
        <v>1.0000000000000002E-6</v>
      </c>
      <c r="AQ216">
        <f t="shared" ref="AQ216:AQ247" si="375">IF(H216&gt;N216, "",AN216)</f>
        <v>10</v>
      </c>
      <c r="AS216" s="5">
        <f t="shared" si="334"/>
        <v>100</v>
      </c>
      <c r="AT216" s="5">
        <f t="shared" ref="AT216:AT247" si="376">L*AJ216/I216*1000000</f>
        <v>0.92272727272727262</v>
      </c>
      <c r="AU216" s="5">
        <f t="shared" si="280"/>
        <v>99.077272727272728</v>
      </c>
      <c r="AV216" s="5"/>
      <c r="AW216" s="178">
        <f t="shared" si="281"/>
        <v>9.2272727272727263E-3</v>
      </c>
      <c r="AX216" s="178"/>
      <c r="CD216" s="580">
        <f t="shared" ref="CD216:CD247" si="377">IF(ABS(F216-Ioutmax_Vinmax)&lt;Iout/200, AN216, -50)</f>
        <v>-50</v>
      </c>
      <c r="CE216">
        <f t="shared" ref="CE216:CE247" si="378">IF(ABS(F216-Ioutmax_Vinmin)&lt;Iout/200, N216*BZ216, -50)</f>
        <v>-50</v>
      </c>
    </row>
    <row r="217" spans="5:85" x14ac:dyDescent="0.2">
      <c r="E217" s="175">
        <v>1</v>
      </c>
      <c r="F217" s="222">
        <f t="shared" ref="F217:F248" si="379">IF(PLOT_TYPE=1, E217/100*Iout_max, min_I*EXP(N217*rr/100))</f>
        <v>4.0000000000000001E-3</v>
      </c>
      <c r="G217" s="222"/>
      <c r="H217" s="222">
        <f t="shared" si="348"/>
        <v>4.8000000000000001E-2</v>
      </c>
      <c r="I217" s="558">
        <f t="shared" si="349"/>
        <v>26.4</v>
      </c>
      <c r="J217" s="453">
        <f t="shared" si="350"/>
        <v>24.5</v>
      </c>
      <c r="K217" s="453">
        <f t="shared" si="351"/>
        <v>50.9</v>
      </c>
      <c r="L217" s="453"/>
      <c r="M217" s="222">
        <f t="shared" si="352"/>
        <v>0.48133595284872299</v>
      </c>
      <c r="N217" s="177">
        <f t="shared" si="353"/>
        <v>8.7521316306483303</v>
      </c>
      <c r="O217" s="177">
        <f t="shared" si="333"/>
        <v>4.8000000000000001E-2</v>
      </c>
      <c r="P217" s="222">
        <f t="shared" si="354"/>
        <v>0.72934430255402749</v>
      </c>
      <c r="Q217" s="222">
        <f t="shared" si="355"/>
        <v>12</v>
      </c>
      <c r="R217" s="222"/>
      <c r="S217" s="177">
        <f t="shared" si="356"/>
        <v>4532.5507280267102</v>
      </c>
      <c r="T217" s="177">
        <f t="shared" si="357"/>
        <v>12</v>
      </c>
      <c r="U217" s="222">
        <f t="shared" si="358"/>
        <v>7.9523484034762226E-3</v>
      </c>
      <c r="V217" s="222">
        <f t="shared" si="359"/>
        <v>2.5302926738333436E-2</v>
      </c>
      <c r="W217" s="222">
        <f t="shared" si="360"/>
        <v>2.7265194526204191E-2</v>
      </c>
      <c r="X217" s="202">
        <f t="shared" si="361"/>
        <v>350</v>
      </c>
      <c r="Y217" s="453">
        <f t="shared" si="362"/>
        <v>350</v>
      </c>
      <c r="AA217" s="222">
        <f t="shared" si="363"/>
        <v>0.4322200392927309</v>
      </c>
      <c r="AB217" s="178">
        <f t="shared" si="364"/>
        <v>1.4818972775750774</v>
      </c>
      <c r="AC217" s="178">
        <f t="shared" si="365"/>
        <v>0.22417699483945183</v>
      </c>
      <c r="AD217" s="178"/>
      <c r="AE217" s="178">
        <f t="shared" si="366"/>
        <v>0.99428571428571422</v>
      </c>
      <c r="AF217" s="562">
        <f t="shared" si="367"/>
        <v>13.872374157748716</v>
      </c>
      <c r="AG217" s="545">
        <f t="shared" si="368"/>
        <v>0.10091999999999998</v>
      </c>
      <c r="AI217" s="178">
        <f t="shared" si="369"/>
        <v>5.7735026918962581E-2</v>
      </c>
      <c r="AJ217" s="178">
        <f t="shared" si="370"/>
        <v>0.28999999999999998</v>
      </c>
      <c r="AK217" s="178">
        <f t="shared" si="371"/>
        <v>1.007927070947285</v>
      </c>
      <c r="AM217" s="562">
        <f t="shared" si="372"/>
        <v>4</v>
      </c>
      <c r="AN217" s="471">
        <f t="shared" si="373"/>
        <v>13.872374157748716</v>
      </c>
      <c r="AP217">
        <f t="shared" si="374"/>
        <v>4</v>
      </c>
      <c r="AQ217">
        <f t="shared" si="375"/>
        <v>13.872374157748716</v>
      </c>
      <c r="AS217" s="5">
        <f t="shared" si="334"/>
        <v>72.085714285714261</v>
      </c>
      <c r="AT217" s="5">
        <f t="shared" si="376"/>
        <v>0.92272727272727262</v>
      </c>
      <c r="AU217" s="5">
        <f t="shared" si="280"/>
        <v>71.162987012986989</v>
      </c>
      <c r="AV217" s="5"/>
      <c r="AW217" s="178">
        <f t="shared" si="281"/>
        <v>1.280041797283177E-2</v>
      </c>
      <c r="AX217" s="178"/>
      <c r="CD217" s="580">
        <f t="shared" si="377"/>
        <v>-50</v>
      </c>
      <c r="CE217">
        <f t="shared" si="378"/>
        <v>-50</v>
      </c>
    </row>
    <row r="218" spans="5:85" x14ac:dyDescent="0.2">
      <c r="E218" s="175">
        <v>2</v>
      </c>
      <c r="F218" s="222">
        <f t="shared" si="379"/>
        <v>8.0000000000000002E-3</v>
      </c>
      <c r="G218" s="222"/>
      <c r="H218" s="222">
        <f t="shared" si="348"/>
        <v>9.6000000000000002E-2</v>
      </c>
      <c r="I218" s="558">
        <f t="shared" si="349"/>
        <v>26.4</v>
      </c>
      <c r="J218" s="453">
        <f t="shared" si="350"/>
        <v>24.5</v>
      </c>
      <c r="K218" s="453">
        <f t="shared" si="351"/>
        <v>50.9</v>
      </c>
      <c r="L218" s="453"/>
      <c r="M218" s="222">
        <f t="shared" si="352"/>
        <v>0.48133595284872299</v>
      </c>
      <c r="N218" s="177">
        <f t="shared" si="353"/>
        <v>8.7521316306483303</v>
      </c>
      <c r="O218" s="177">
        <f t="shared" si="333"/>
        <v>9.6000000000000002E-2</v>
      </c>
      <c r="P218" s="222">
        <f t="shared" si="354"/>
        <v>0.72934430255402749</v>
      </c>
      <c r="Q218" s="222">
        <f t="shared" si="355"/>
        <v>12</v>
      </c>
      <c r="R218" s="222"/>
      <c r="S218" s="177">
        <f t="shared" si="356"/>
        <v>2259.6764602245066</v>
      </c>
      <c r="T218" s="177">
        <f t="shared" si="357"/>
        <v>12</v>
      </c>
      <c r="U218" s="222">
        <f t="shared" si="358"/>
        <v>1.5904696806952445E-2</v>
      </c>
      <c r="V218" s="222">
        <f t="shared" si="359"/>
        <v>5.0605853476666872E-2</v>
      </c>
      <c r="W218" s="222">
        <f t="shared" si="360"/>
        <v>5.4530389052408382E-2</v>
      </c>
      <c r="X218" s="202">
        <f t="shared" si="361"/>
        <v>350</v>
      </c>
      <c r="Y218" s="453">
        <f t="shared" si="362"/>
        <v>350</v>
      </c>
      <c r="AA218" s="222">
        <f t="shared" si="363"/>
        <v>0.4322200392927309</v>
      </c>
      <c r="AB218" s="178">
        <f t="shared" si="364"/>
        <v>1.4818972775750774</v>
      </c>
      <c r="AC218" s="178">
        <f t="shared" si="365"/>
        <v>0.22417699483945183</v>
      </c>
      <c r="AD218" s="178"/>
      <c r="AE218" s="178">
        <f t="shared" si="366"/>
        <v>0.99428571428571422</v>
      </c>
      <c r="AF218" s="562">
        <f t="shared" si="367"/>
        <v>27.744748315497432</v>
      </c>
      <c r="AG218" s="545">
        <f t="shared" si="368"/>
        <v>0.10091999999999998</v>
      </c>
      <c r="AI218" s="178">
        <f t="shared" si="369"/>
        <v>8.1649658092772609E-2</v>
      </c>
      <c r="AJ218" s="178">
        <f t="shared" si="370"/>
        <v>0.28999999999999998</v>
      </c>
      <c r="AK218" s="178">
        <f t="shared" si="371"/>
        <v>1.0158541418945699</v>
      </c>
      <c r="AM218" s="562">
        <f t="shared" si="372"/>
        <v>8</v>
      </c>
      <c r="AN218" s="471">
        <f t="shared" si="373"/>
        <v>27.744748315497432</v>
      </c>
      <c r="AP218">
        <f t="shared" si="374"/>
        <v>8</v>
      </c>
      <c r="AQ218">
        <f t="shared" si="375"/>
        <v>27.744748315497432</v>
      </c>
      <c r="AS218" s="5">
        <f t="shared" si="334"/>
        <v>36.04285714285713</v>
      </c>
      <c r="AT218" s="5">
        <f t="shared" si="376"/>
        <v>0.92272727272727262</v>
      </c>
      <c r="AU218" s="5">
        <f t="shared" si="280"/>
        <v>35.120129870129858</v>
      </c>
      <c r="AV218" s="5"/>
      <c r="AW218" s="178">
        <f t="shared" si="281"/>
        <v>2.5600835945663539E-2</v>
      </c>
      <c r="AX218" s="178"/>
      <c r="CD218" s="580">
        <f t="shared" si="377"/>
        <v>-50</v>
      </c>
      <c r="CE218">
        <f t="shared" si="378"/>
        <v>-50</v>
      </c>
    </row>
    <row r="219" spans="5:85" x14ac:dyDescent="0.2">
      <c r="E219" s="175">
        <v>3</v>
      </c>
      <c r="F219" s="222">
        <f t="shared" si="379"/>
        <v>1.2E-2</v>
      </c>
      <c r="G219" s="222"/>
      <c r="H219" s="222">
        <f t="shared" si="348"/>
        <v>0.14400000000000002</v>
      </c>
      <c r="I219" s="558">
        <f t="shared" si="349"/>
        <v>26.4</v>
      </c>
      <c r="J219" s="453">
        <f t="shared" si="350"/>
        <v>24.5</v>
      </c>
      <c r="K219" s="453">
        <f t="shared" si="351"/>
        <v>50.9</v>
      </c>
      <c r="L219" s="453"/>
      <c r="M219" s="222">
        <f t="shared" si="352"/>
        <v>0.48133595284872299</v>
      </c>
      <c r="N219" s="177">
        <f t="shared" si="353"/>
        <v>8.7521316306483303</v>
      </c>
      <c r="O219" s="177">
        <f t="shared" si="333"/>
        <v>0.14400000000000002</v>
      </c>
      <c r="P219" s="222">
        <f t="shared" si="354"/>
        <v>0.72934430255402749</v>
      </c>
      <c r="Q219" s="222">
        <f t="shared" si="355"/>
        <v>12</v>
      </c>
      <c r="R219" s="222"/>
      <c r="S219" s="177">
        <f t="shared" si="356"/>
        <v>1502.052196628619</v>
      </c>
      <c r="T219" s="177">
        <f t="shared" si="357"/>
        <v>12</v>
      </c>
      <c r="U219" s="222">
        <f t="shared" si="358"/>
        <v>2.3857045210428671E-2</v>
      </c>
      <c r="V219" s="222">
        <f t="shared" si="359"/>
        <v>7.5908780215000318E-2</v>
      </c>
      <c r="W219" s="222">
        <f t="shared" si="360"/>
        <v>8.1795583578612566E-2</v>
      </c>
      <c r="X219" s="202">
        <f t="shared" si="361"/>
        <v>350</v>
      </c>
      <c r="Y219" s="453">
        <f t="shared" si="362"/>
        <v>350</v>
      </c>
      <c r="AA219" s="222">
        <f t="shared" si="363"/>
        <v>0.4322200392927309</v>
      </c>
      <c r="AB219" s="178">
        <f t="shared" si="364"/>
        <v>1.4818972775750774</v>
      </c>
      <c r="AC219" s="178">
        <f t="shared" si="365"/>
        <v>0.22417699483945183</v>
      </c>
      <c r="AD219" s="178"/>
      <c r="AE219" s="178">
        <f t="shared" si="366"/>
        <v>0.99428571428571422</v>
      </c>
      <c r="AF219" s="562">
        <f t="shared" si="367"/>
        <v>41.617122473246148</v>
      </c>
      <c r="AG219" s="545">
        <f t="shared" si="368"/>
        <v>0.10091999999999998</v>
      </c>
      <c r="AI219" s="178">
        <f t="shared" si="369"/>
        <v>0.1</v>
      </c>
      <c r="AJ219" s="178">
        <f t="shared" si="370"/>
        <v>0.28999999999999998</v>
      </c>
      <c r="AK219" s="178">
        <f t="shared" si="371"/>
        <v>1.0237812128418549</v>
      </c>
      <c r="AM219" s="562">
        <f t="shared" si="372"/>
        <v>12</v>
      </c>
      <c r="AN219" s="471">
        <f t="shared" si="373"/>
        <v>41.617122473246148</v>
      </c>
      <c r="AP219">
        <f t="shared" si="374"/>
        <v>12</v>
      </c>
      <c r="AQ219">
        <f t="shared" si="375"/>
        <v>41.617122473246148</v>
      </c>
      <c r="AS219" s="5">
        <f t="shared" si="334"/>
        <v>24.028571428571421</v>
      </c>
      <c r="AT219" s="5">
        <f t="shared" si="376"/>
        <v>0.92272727272727262</v>
      </c>
      <c r="AU219" s="5">
        <f t="shared" si="280"/>
        <v>23.105844155844149</v>
      </c>
      <c r="AV219" s="5"/>
      <c r="AW219" s="178">
        <f t="shared" si="281"/>
        <v>3.8401253918495304E-2</v>
      </c>
      <c r="AX219" s="178"/>
      <c r="CD219" s="580">
        <f t="shared" si="377"/>
        <v>-50</v>
      </c>
      <c r="CE219">
        <f t="shared" si="378"/>
        <v>-50</v>
      </c>
    </row>
    <row r="220" spans="5:85" x14ac:dyDescent="0.2">
      <c r="E220" s="175">
        <v>4</v>
      </c>
      <c r="F220" s="222">
        <f t="shared" si="379"/>
        <v>1.6E-2</v>
      </c>
      <c r="G220" s="222"/>
      <c r="H220" s="222">
        <f t="shared" si="348"/>
        <v>0.192</v>
      </c>
      <c r="I220" s="558">
        <f t="shared" si="349"/>
        <v>26.4</v>
      </c>
      <c r="J220" s="453">
        <f t="shared" si="350"/>
        <v>24.5</v>
      </c>
      <c r="K220" s="453">
        <f t="shared" si="351"/>
        <v>50.9</v>
      </c>
      <c r="L220" s="453"/>
      <c r="M220" s="222">
        <f t="shared" si="352"/>
        <v>0.48133595284872299</v>
      </c>
      <c r="N220" s="177">
        <f t="shared" si="353"/>
        <v>8.7521316306483303</v>
      </c>
      <c r="O220" s="177">
        <f t="shared" si="333"/>
        <v>0.192</v>
      </c>
      <c r="P220" s="222">
        <f t="shared" si="354"/>
        <v>0.72934430255402749</v>
      </c>
      <c r="Q220" s="222">
        <f t="shared" si="355"/>
        <v>12</v>
      </c>
      <c r="R220" s="222"/>
      <c r="S220" s="177">
        <f t="shared" si="356"/>
        <v>1123.2404372746671</v>
      </c>
      <c r="T220" s="177">
        <f t="shared" si="357"/>
        <v>12</v>
      </c>
      <c r="U220" s="222">
        <f t="shared" si="358"/>
        <v>3.1809393613904891E-2</v>
      </c>
      <c r="V220" s="222">
        <f t="shared" si="359"/>
        <v>0.10121170695333374</v>
      </c>
      <c r="W220" s="222">
        <f t="shared" si="360"/>
        <v>0.10906077810481676</v>
      </c>
      <c r="X220" s="202">
        <f t="shared" si="361"/>
        <v>350</v>
      </c>
      <c r="Y220" s="453">
        <f t="shared" si="362"/>
        <v>350</v>
      </c>
      <c r="AA220" s="222">
        <f t="shared" si="363"/>
        <v>0.4322200392927309</v>
      </c>
      <c r="AB220" s="178">
        <f t="shared" si="364"/>
        <v>1.4818972775750774</v>
      </c>
      <c r="AC220" s="178">
        <f t="shared" si="365"/>
        <v>0.22417699483945183</v>
      </c>
      <c r="AD220" s="178"/>
      <c r="AE220" s="178">
        <f t="shared" si="366"/>
        <v>0.99428571428571422</v>
      </c>
      <c r="AF220" s="562">
        <f t="shared" si="367"/>
        <v>55.489496630994864</v>
      </c>
      <c r="AG220" s="545">
        <f t="shared" si="368"/>
        <v>0.10091999999999998</v>
      </c>
      <c r="AI220" s="178">
        <f t="shared" si="369"/>
        <v>0.11547005383792516</v>
      </c>
      <c r="AJ220" s="178">
        <f t="shared" si="370"/>
        <v>0.28999999999999998</v>
      </c>
      <c r="AK220" s="178">
        <f t="shared" si="371"/>
        <v>1.0317082837891398</v>
      </c>
      <c r="AM220" s="562">
        <f t="shared" si="372"/>
        <v>16</v>
      </c>
      <c r="AN220" s="471">
        <f t="shared" si="373"/>
        <v>55.489496630994864</v>
      </c>
      <c r="AP220">
        <f t="shared" si="374"/>
        <v>16</v>
      </c>
      <c r="AQ220">
        <f t="shared" si="375"/>
        <v>55.489496630994864</v>
      </c>
      <c r="AS220" s="5">
        <f t="shared" si="334"/>
        <v>18.021428571428565</v>
      </c>
      <c r="AT220" s="5">
        <f t="shared" si="376"/>
        <v>0.92272727272727262</v>
      </c>
      <c r="AU220" s="5">
        <f t="shared" si="280"/>
        <v>17.098701298701293</v>
      </c>
      <c r="AV220" s="5"/>
      <c r="AW220" s="178">
        <f t="shared" si="281"/>
        <v>5.1201671891327079E-2</v>
      </c>
      <c r="AX220" s="178"/>
      <c r="CD220" s="580">
        <f t="shared" si="377"/>
        <v>-50</v>
      </c>
      <c r="CE220">
        <f t="shared" si="378"/>
        <v>-50</v>
      </c>
    </row>
    <row r="221" spans="5:85" x14ac:dyDescent="0.2">
      <c r="E221" s="175">
        <v>5</v>
      </c>
      <c r="F221" s="222">
        <f t="shared" si="379"/>
        <v>2.0000000000000004E-2</v>
      </c>
      <c r="G221" s="222"/>
      <c r="H221" s="222">
        <f t="shared" si="348"/>
        <v>0.24000000000000005</v>
      </c>
      <c r="I221" s="558">
        <f t="shared" si="349"/>
        <v>26.4</v>
      </c>
      <c r="J221" s="453">
        <f t="shared" si="350"/>
        <v>24.5</v>
      </c>
      <c r="K221" s="453">
        <f t="shared" si="351"/>
        <v>50.9</v>
      </c>
      <c r="L221" s="453"/>
      <c r="M221" s="222">
        <f t="shared" si="352"/>
        <v>0.48133595284872299</v>
      </c>
      <c r="N221" s="177">
        <f t="shared" si="353"/>
        <v>8.7521316306483303</v>
      </c>
      <c r="O221" s="177">
        <f t="shared" si="333"/>
        <v>0.24000000000000005</v>
      </c>
      <c r="P221" s="222">
        <f t="shared" si="354"/>
        <v>0.72934430255402749</v>
      </c>
      <c r="Q221" s="222">
        <f t="shared" si="355"/>
        <v>12</v>
      </c>
      <c r="R221" s="222"/>
      <c r="S221" s="177">
        <f t="shared" si="356"/>
        <v>895.95368219866214</v>
      </c>
      <c r="T221" s="177">
        <f t="shared" si="357"/>
        <v>12</v>
      </c>
      <c r="U221" s="222">
        <f t="shared" si="358"/>
        <v>3.9761742017381127E-2</v>
      </c>
      <c r="V221" s="222">
        <f t="shared" si="359"/>
        <v>0.12651463369166721</v>
      </c>
      <c r="W221" s="222">
        <f t="shared" si="360"/>
        <v>0.136325972631021</v>
      </c>
      <c r="X221" s="202">
        <f t="shared" si="361"/>
        <v>350</v>
      </c>
      <c r="Y221" s="453">
        <f t="shared" si="362"/>
        <v>350</v>
      </c>
      <c r="AA221" s="222">
        <f t="shared" si="363"/>
        <v>0.4322200392927309</v>
      </c>
      <c r="AB221" s="178">
        <f t="shared" si="364"/>
        <v>1.4818972775750774</v>
      </c>
      <c r="AC221" s="178">
        <f t="shared" si="365"/>
        <v>0.22417699483945183</v>
      </c>
      <c r="AD221" s="178"/>
      <c r="AE221" s="178">
        <f t="shared" si="366"/>
        <v>0.99428571428571422</v>
      </c>
      <c r="AF221" s="562">
        <f t="shared" si="367"/>
        <v>69.361870788743587</v>
      </c>
      <c r="AG221" s="545">
        <f t="shared" si="368"/>
        <v>0.10091999999999998</v>
      </c>
      <c r="AI221" s="178">
        <f t="shared" si="369"/>
        <v>0.12909944487358058</v>
      </c>
      <c r="AJ221" s="178">
        <f t="shared" si="370"/>
        <v>0.28999999999999998</v>
      </c>
      <c r="AK221" s="178">
        <f t="shared" si="371"/>
        <v>1.039635354736425</v>
      </c>
      <c r="AM221" s="562">
        <f t="shared" si="372"/>
        <v>20.000000000000004</v>
      </c>
      <c r="AN221" s="471">
        <f t="shared" si="373"/>
        <v>69.361870788743587</v>
      </c>
      <c r="AP221">
        <f t="shared" si="374"/>
        <v>20.000000000000004</v>
      </c>
      <c r="AQ221">
        <f t="shared" si="375"/>
        <v>69.361870788743587</v>
      </c>
      <c r="AS221" s="5">
        <f t="shared" si="334"/>
        <v>14.417142857142851</v>
      </c>
      <c r="AT221" s="5">
        <f t="shared" si="376"/>
        <v>0.92272727272727262</v>
      </c>
      <c r="AU221" s="5">
        <f t="shared" si="280"/>
        <v>13.494415584415579</v>
      </c>
      <c r="AV221" s="5"/>
      <c r="AW221" s="178">
        <f t="shared" si="281"/>
        <v>6.4002089864158854E-2</v>
      </c>
      <c r="AX221" s="178"/>
      <c r="CD221" s="580">
        <f t="shared" si="377"/>
        <v>-50</v>
      </c>
      <c r="CE221">
        <f t="shared" si="378"/>
        <v>-50</v>
      </c>
    </row>
    <row r="222" spans="5:85" x14ac:dyDescent="0.2">
      <c r="E222" s="175">
        <v>6</v>
      </c>
      <c r="F222" s="222">
        <f t="shared" si="379"/>
        <v>2.4E-2</v>
      </c>
      <c r="G222" s="222"/>
      <c r="H222" s="222">
        <f t="shared" si="348"/>
        <v>0.28800000000000003</v>
      </c>
      <c r="I222" s="558">
        <f t="shared" si="349"/>
        <v>26.4</v>
      </c>
      <c r="J222" s="453">
        <f t="shared" si="350"/>
        <v>24.5</v>
      </c>
      <c r="K222" s="453">
        <f t="shared" si="351"/>
        <v>50.9</v>
      </c>
      <c r="L222" s="453"/>
      <c r="M222" s="222">
        <f t="shared" si="352"/>
        <v>0.48133595284872299</v>
      </c>
      <c r="N222" s="177">
        <f t="shared" si="353"/>
        <v>8.7521316306483303</v>
      </c>
      <c r="O222" s="177">
        <f t="shared" si="333"/>
        <v>0.28800000000000003</v>
      </c>
      <c r="P222" s="222">
        <f t="shared" si="354"/>
        <v>0.72934430255402749</v>
      </c>
      <c r="Q222" s="222">
        <f t="shared" si="355"/>
        <v>12</v>
      </c>
      <c r="R222" s="222"/>
      <c r="S222" s="177">
        <f t="shared" si="356"/>
        <v>744.42943143701916</v>
      </c>
      <c r="T222" s="177">
        <f t="shared" si="357"/>
        <v>12</v>
      </c>
      <c r="U222" s="222">
        <f t="shared" si="358"/>
        <v>4.7714090420857343E-2</v>
      </c>
      <c r="V222" s="222">
        <f t="shared" si="359"/>
        <v>0.15181756043000064</v>
      </c>
      <c r="W222" s="222">
        <f t="shared" si="360"/>
        <v>0.16359116715722513</v>
      </c>
      <c r="X222" s="202">
        <f t="shared" si="361"/>
        <v>350</v>
      </c>
      <c r="Y222" s="453">
        <f t="shared" si="362"/>
        <v>350</v>
      </c>
      <c r="AA222" s="222">
        <f t="shared" si="363"/>
        <v>0.4322200392927309</v>
      </c>
      <c r="AB222" s="178">
        <f t="shared" si="364"/>
        <v>1.4818972775750774</v>
      </c>
      <c r="AC222" s="178">
        <f t="shared" si="365"/>
        <v>0.22417699483945183</v>
      </c>
      <c r="AD222" s="178"/>
      <c r="AE222" s="178">
        <f t="shared" si="366"/>
        <v>0.99428571428571422</v>
      </c>
      <c r="AF222" s="562">
        <f t="shared" si="367"/>
        <v>83.234244946492296</v>
      </c>
      <c r="AG222" s="545">
        <f t="shared" si="368"/>
        <v>0.10091999999999998</v>
      </c>
      <c r="AI222" s="178">
        <f t="shared" si="369"/>
        <v>0.1414213562373095</v>
      </c>
      <c r="AJ222" s="178">
        <f t="shared" si="370"/>
        <v>0.28999999999999998</v>
      </c>
      <c r="AK222" s="178">
        <f t="shared" si="371"/>
        <v>1.0475624256837099</v>
      </c>
      <c r="AM222" s="562">
        <f t="shared" si="372"/>
        <v>24</v>
      </c>
      <c r="AN222" s="471">
        <f t="shared" si="373"/>
        <v>83.234244946492296</v>
      </c>
      <c r="AP222">
        <f t="shared" si="374"/>
        <v>24</v>
      </c>
      <c r="AQ222">
        <f t="shared" si="375"/>
        <v>83.234244946492296</v>
      </c>
      <c r="AS222" s="5">
        <f t="shared" si="334"/>
        <v>12.014285714285711</v>
      </c>
      <c r="AT222" s="5">
        <f t="shared" si="376"/>
        <v>0.92272727272727262</v>
      </c>
      <c r="AU222" s="5">
        <f t="shared" si="280"/>
        <v>11.091558441558439</v>
      </c>
      <c r="AV222" s="5"/>
      <c r="AW222" s="178">
        <f t="shared" si="281"/>
        <v>7.6802507836990608E-2</v>
      </c>
      <c r="AX222" s="178"/>
      <c r="CD222" s="580">
        <f t="shared" si="377"/>
        <v>-50</v>
      </c>
      <c r="CE222">
        <f t="shared" si="378"/>
        <v>-50</v>
      </c>
    </row>
    <row r="223" spans="5:85" x14ac:dyDescent="0.2">
      <c r="E223" s="175">
        <v>7</v>
      </c>
      <c r="F223" s="222">
        <f t="shared" si="379"/>
        <v>2.8000000000000004E-2</v>
      </c>
      <c r="G223" s="222"/>
      <c r="H223" s="222">
        <f t="shared" si="348"/>
        <v>0.33600000000000008</v>
      </c>
      <c r="I223" s="558">
        <f t="shared" si="349"/>
        <v>26.4</v>
      </c>
      <c r="J223" s="453">
        <f t="shared" si="350"/>
        <v>24.5</v>
      </c>
      <c r="K223" s="453">
        <f t="shared" si="351"/>
        <v>50.9</v>
      </c>
      <c r="L223" s="453"/>
      <c r="M223" s="222">
        <f t="shared" si="352"/>
        <v>0.48133595284872299</v>
      </c>
      <c r="N223" s="177">
        <f t="shared" si="353"/>
        <v>8.7521316306483303</v>
      </c>
      <c r="O223" s="177">
        <f t="shared" si="333"/>
        <v>0.33600000000000008</v>
      </c>
      <c r="P223" s="222">
        <f t="shared" si="354"/>
        <v>0.72934430255402749</v>
      </c>
      <c r="Q223" s="222">
        <f t="shared" si="355"/>
        <v>12</v>
      </c>
      <c r="R223" s="222"/>
      <c r="S223" s="177">
        <f t="shared" si="356"/>
        <v>636.1980421694127</v>
      </c>
      <c r="T223" s="177">
        <f t="shared" si="357"/>
        <v>12</v>
      </c>
      <c r="U223" s="222">
        <f t="shared" si="358"/>
        <v>5.5666438824333572E-2</v>
      </c>
      <c r="V223" s="222">
        <f t="shared" si="359"/>
        <v>0.17712048716833409</v>
      </c>
      <c r="W223" s="222">
        <f t="shared" si="360"/>
        <v>0.19085636168342937</v>
      </c>
      <c r="X223" s="202">
        <f t="shared" si="361"/>
        <v>350</v>
      </c>
      <c r="Y223" s="453">
        <f t="shared" si="362"/>
        <v>350</v>
      </c>
      <c r="AA223" s="222">
        <f t="shared" si="363"/>
        <v>0.4322200392927309</v>
      </c>
      <c r="AB223" s="178">
        <f t="shared" si="364"/>
        <v>1.4818972775750774</v>
      </c>
      <c r="AC223" s="178">
        <f t="shared" si="365"/>
        <v>0.22417699483945183</v>
      </c>
      <c r="AD223" s="178"/>
      <c r="AE223" s="178">
        <f t="shared" si="366"/>
        <v>0.99428571428571422</v>
      </c>
      <c r="AF223" s="562">
        <f t="shared" si="367"/>
        <v>97.10661910424102</v>
      </c>
      <c r="AG223" s="545">
        <f t="shared" si="368"/>
        <v>0.10091999999999998</v>
      </c>
      <c r="AI223" s="178">
        <f t="shared" si="369"/>
        <v>0.15275252316519469</v>
      </c>
      <c r="AJ223" s="178">
        <f t="shared" si="370"/>
        <v>0.28999999999999998</v>
      </c>
      <c r="AK223" s="178">
        <f t="shared" si="371"/>
        <v>1.0554894966309949</v>
      </c>
      <c r="AM223" s="562">
        <f t="shared" si="372"/>
        <v>28.000000000000004</v>
      </c>
      <c r="AN223" s="471">
        <f t="shared" si="373"/>
        <v>97.10661910424102</v>
      </c>
      <c r="AP223">
        <f t="shared" si="374"/>
        <v>28.000000000000004</v>
      </c>
      <c r="AQ223">
        <f t="shared" si="375"/>
        <v>97.10661910424102</v>
      </c>
      <c r="AS223" s="5">
        <f t="shared" si="334"/>
        <v>10.297959183673466</v>
      </c>
      <c r="AT223" s="5">
        <f t="shared" si="376"/>
        <v>0.92272727272727262</v>
      </c>
      <c r="AU223" s="5">
        <f t="shared" si="280"/>
        <v>9.3752319109461943</v>
      </c>
      <c r="AV223" s="5"/>
      <c r="AW223" s="178">
        <f t="shared" si="281"/>
        <v>8.9602925809822376E-2</v>
      </c>
      <c r="AX223" s="178"/>
      <c r="CD223" s="580">
        <f t="shared" si="377"/>
        <v>-50</v>
      </c>
      <c r="CE223">
        <f t="shared" si="378"/>
        <v>-50</v>
      </c>
    </row>
    <row r="224" spans="5:85" x14ac:dyDescent="0.2">
      <c r="E224" s="175">
        <v>8</v>
      </c>
      <c r="F224" s="222">
        <f t="shared" si="379"/>
        <v>3.2000000000000001E-2</v>
      </c>
      <c r="G224" s="222"/>
      <c r="H224" s="222">
        <f t="shared" si="348"/>
        <v>0.38400000000000001</v>
      </c>
      <c r="I224" s="558">
        <f t="shared" si="349"/>
        <v>26.4</v>
      </c>
      <c r="J224" s="453">
        <f t="shared" si="350"/>
        <v>24.5</v>
      </c>
      <c r="K224" s="453">
        <f t="shared" si="351"/>
        <v>50.9</v>
      </c>
      <c r="L224" s="453"/>
      <c r="M224" s="222">
        <f t="shared" si="352"/>
        <v>0.48133595284872299</v>
      </c>
      <c r="N224" s="177">
        <f t="shared" si="353"/>
        <v>8.7521316306483303</v>
      </c>
      <c r="O224" s="177">
        <f t="shared" si="333"/>
        <v>0.38400000000000001</v>
      </c>
      <c r="P224" s="222">
        <f t="shared" si="354"/>
        <v>0.72934430255402749</v>
      </c>
      <c r="Q224" s="222">
        <f t="shared" si="355"/>
        <v>12</v>
      </c>
      <c r="R224" s="222"/>
      <c r="S224" s="177">
        <f t="shared" si="356"/>
        <v>555.02469300450127</v>
      </c>
      <c r="T224" s="177">
        <f t="shared" si="357"/>
        <v>12</v>
      </c>
      <c r="U224" s="222">
        <f t="shared" si="358"/>
        <v>6.3618787227809781E-2</v>
      </c>
      <c r="V224" s="222">
        <f t="shared" si="359"/>
        <v>0.20242341390666749</v>
      </c>
      <c r="W224" s="222">
        <f t="shared" si="360"/>
        <v>0.21812155620963353</v>
      </c>
      <c r="X224" s="202">
        <f t="shared" si="361"/>
        <v>350</v>
      </c>
      <c r="Y224" s="453">
        <f t="shared" si="362"/>
        <v>350</v>
      </c>
      <c r="AA224" s="222">
        <f t="shared" si="363"/>
        <v>0.4322200392927309</v>
      </c>
      <c r="AB224" s="178">
        <f t="shared" si="364"/>
        <v>1.4818972775750774</v>
      </c>
      <c r="AC224" s="178">
        <f t="shared" si="365"/>
        <v>0.22417699483945183</v>
      </c>
      <c r="AD224" s="178"/>
      <c r="AE224" s="178">
        <f t="shared" si="366"/>
        <v>0.99428571428571422</v>
      </c>
      <c r="AF224" s="562">
        <f t="shared" si="367"/>
        <v>110.97899326198973</v>
      </c>
      <c r="AG224" s="545">
        <f t="shared" si="368"/>
        <v>0.10091999999999998</v>
      </c>
      <c r="AI224" s="178">
        <f t="shared" si="369"/>
        <v>0.16329931618554522</v>
      </c>
      <c r="AJ224" s="178">
        <f t="shared" si="370"/>
        <v>0.28999999999999998</v>
      </c>
      <c r="AK224" s="178">
        <f t="shared" si="371"/>
        <v>1.0634165675782798</v>
      </c>
      <c r="AM224" s="562">
        <f t="shared" si="372"/>
        <v>32</v>
      </c>
      <c r="AN224" s="471">
        <f t="shared" si="373"/>
        <v>110.97899326198973</v>
      </c>
      <c r="AP224">
        <f t="shared" si="374"/>
        <v>32</v>
      </c>
      <c r="AQ224">
        <f t="shared" si="375"/>
        <v>110.97899326198973</v>
      </c>
      <c r="AS224" s="5">
        <f t="shared" si="334"/>
        <v>9.0107142857142826</v>
      </c>
      <c r="AT224" s="5">
        <f t="shared" si="376"/>
        <v>0.92272727272727262</v>
      </c>
      <c r="AU224" s="5">
        <f t="shared" si="280"/>
        <v>8.0879870129870106</v>
      </c>
      <c r="AV224" s="5"/>
      <c r="AW224" s="178">
        <f t="shared" si="281"/>
        <v>0.10240334378265416</v>
      </c>
      <c r="AX224" s="178"/>
      <c r="CD224" s="580">
        <f t="shared" si="377"/>
        <v>-50</v>
      </c>
      <c r="CE224">
        <f t="shared" si="378"/>
        <v>-50</v>
      </c>
    </row>
    <row r="225" spans="5:83" x14ac:dyDescent="0.2">
      <c r="E225" s="175">
        <v>9</v>
      </c>
      <c r="F225" s="222">
        <f t="shared" si="379"/>
        <v>3.5999999999999997E-2</v>
      </c>
      <c r="G225" s="222"/>
      <c r="H225" s="222">
        <f t="shared" si="348"/>
        <v>0.43199999999999994</v>
      </c>
      <c r="I225" s="558">
        <f t="shared" si="349"/>
        <v>26.4</v>
      </c>
      <c r="J225" s="453">
        <f t="shared" si="350"/>
        <v>24.5</v>
      </c>
      <c r="K225" s="453">
        <f t="shared" si="351"/>
        <v>50.9</v>
      </c>
      <c r="L225" s="453"/>
      <c r="M225" s="222">
        <f t="shared" si="352"/>
        <v>0.48133595284872299</v>
      </c>
      <c r="N225" s="177">
        <f t="shared" si="353"/>
        <v>8.7521316306483303</v>
      </c>
      <c r="O225" s="177">
        <f t="shared" si="333"/>
        <v>0.43199999999999994</v>
      </c>
      <c r="P225" s="222">
        <f t="shared" si="354"/>
        <v>0.72934430255402749</v>
      </c>
      <c r="Q225" s="222">
        <f t="shared" si="355"/>
        <v>12</v>
      </c>
      <c r="R225" s="222"/>
      <c r="S225" s="177">
        <f t="shared" si="356"/>
        <v>491.89003874183544</v>
      </c>
      <c r="T225" s="177">
        <f t="shared" si="357"/>
        <v>12</v>
      </c>
      <c r="U225" s="222">
        <f t="shared" si="358"/>
        <v>7.1571135631286004E-2</v>
      </c>
      <c r="V225" s="222">
        <f t="shared" si="359"/>
        <v>0.22772634064500091</v>
      </c>
      <c r="W225" s="222">
        <f t="shared" si="360"/>
        <v>0.24538675073583771</v>
      </c>
      <c r="X225" s="202">
        <f t="shared" si="361"/>
        <v>350</v>
      </c>
      <c r="Y225" s="453">
        <f t="shared" si="362"/>
        <v>350</v>
      </c>
      <c r="AA225" s="222">
        <f t="shared" si="363"/>
        <v>0.4322200392927309</v>
      </c>
      <c r="AB225" s="178">
        <f t="shared" si="364"/>
        <v>1.4818972775750774</v>
      </c>
      <c r="AC225" s="178">
        <f t="shared" si="365"/>
        <v>0.22417699483945183</v>
      </c>
      <c r="AD225" s="178"/>
      <c r="AE225" s="178">
        <f t="shared" si="366"/>
        <v>0.99428571428571422</v>
      </c>
      <c r="AF225" s="562">
        <f t="shared" si="367"/>
        <v>124.85136741973842</v>
      </c>
      <c r="AG225" s="545">
        <f t="shared" si="368"/>
        <v>0.10091999999999998</v>
      </c>
      <c r="AI225" s="178">
        <f t="shared" si="369"/>
        <v>0.17320508075688773</v>
      </c>
      <c r="AJ225" s="178">
        <f t="shared" si="370"/>
        <v>0.28999999999999998</v>
      </c>
      <c r="AK225" s="178">
        <f t="shared" si="371"/>
        <v>1.0713436385255648</v>
      </c>
      <c r="AM225" s="562">
        <f t="shared" si="372"/>
        <v>36</v>
      </c>
      <c r="AN225" s="471">
        <f t="shared" si="373"/>
        <v>124.85136741973842</v>
      </c>
      <c r="AP225">
        <f t="shared" si="374"/>
        <v>36</v>
      </c>
      <c r="AQ225">
        <f t="shared" si="375"/>
        <v>124.85136741973842</v>
      </c>
      <c r="AS225" s="5">
        <f t="shared" si="334"/>
        <v>8.0095238095238077</v>
      </c>
      <c r="AT225" s="5">
        <f t="shared" si="376"/>
        <v>0.92272727272727262</v>
      </c>
      <c r="AU225" s="5">
        <f t="shared" si="280"/>
        <v>7.0867965367965349</v>
      </c>
      <c r="AV225" s="5"/>
      <c r="AW225" s="178">
        <f t="shared" si="281"/>
        <v>0.11520376175548591</v>
      </c>
      <c r="AX225" s="178"/>
      <c r="CD225" s="580">
        <f t="shared" si="377"/>
        <v>-50</v>
      </c>
      <c r="CE225">
        <f t="shared" si="378"/>
        <v>-50</v>
      </c>
    </row>
    <row r="226" spans="5:83" x14ac:dyDescent="0.2">
      <c r="E226" s="175">
        <v>10</v>
      </c>
      <c r="F226" s="222">
        <f t="shared" si="379"/>
        <v>4.0000000000000008E-2</v>
      </c>
      <c r="G226" s="222"/>
      <c r="H226" s="222">
        <f t="shared" si="348"/>
        <v>0.48000000000000009</v>
      </c>
      <c r="I226" s="558">
        <f t="shared" si="349"/>
        <v>26.4</v>
      </c>
      <c r="J226" s="453">
        <f t="shared" si="350"/>
        <v>24.5</v>
      </c>
      <c r="K226" s="453">
        <f t="shared" si="351"/>
        <v>50.9</v>
      </c>
      <c r="L226" s="453"/>
      <c r="M226" s="222">
        <f t="shared" si="352"/>
        <v>0.48133595284872299</v>
      </c>
      <c r="N226" s="177">
        <f t="shared" si="353"/>
        <v>8.7521316306483303</v>
      </c>
      <c r="O226" s="177">
        <f t="shared" si="333"/>
        <v>0.48000000000000009</v>
      </c>
      <c r="P226" s="222">
        <f t="shared" si="354"/>
        <v>0.72934430255402749</v>
      </c>
      <c r="Q226" s="222">
        <f t="shared" si="355"/>
        <v>12</v>
      </c>
      <c r="R226" s="222"/>
      <c r="S226" s="177">
        <f t="shared" si="356"/>
        <v>441.38247227662612</v>
      </c>
      <c r="T226" s="177">
        <f t="shared" si="357"/>
        <v>12</v>
      </c>
      <c r="U226" s="222">
        <f t="shared" si="358"/>
        <v>7.9523484034762254E-2</v>
      </c>
      <c r="V226" s="222">
        <f t="shared" si="359"/>
        <v>0.25302926738333442</v>
      </c>
      <c r="W226" s="222">
        <f t="shared" si="360"/>
        <v>0.27265194526204201</v>
      </c>
      <c r="X226" s="202">
        <f t="shared" si="361"/>
        <v>350</v>
      </c>
      <c r="Y226" s="453">
        <f t="shared" si="362"/>
        <v>350</v>
      </c>
      <c r="AA226" s="222">
        <f t="shared" si="363"/>
        <v>0.4322200392927309</v>
      </c>
      <c r="AB226" s="178">
        <f t="shared" si="364"/>
        <v>1.4818972775750774</v>
      </c>
      <c r="AC226" s="178">
        <f t="shared" si="365"/>
        <v>0.22417699483945183</v>
      </c>
      <c r="AD226" s="178"/>
      <c r="AE226" s="178">
        <f t="shared" si="366"/>
        <v>0.99428571428571422</v>
      </c>
      <c r="AF226" s="562">
        <f t="shared" si="367"/>
        <v>138.72374157748717</v>
      </c>
      <c r="AG226" s="545">
        <f t="shared" si="368"/>
        <v>0.10091999999999998</v>
      </c>
      <c r="AI226" s="178">
        <f t="shared" si="369"/>
        <v>0.18257418583505539</v>
      </c>
      <c r="AJ226" s="178">
        <f t="shared" si="370"/>
        <v>0.28999999999999998</v>
      </c>
      <c r="AK226" s="178">
        <f t="shared" si="371"/>
        <v>1.0792707094728498</v>
      </c>
      <c r="AM226" s="562">
        <f t="shared" si="372"/>
        <v>40.000000000000007</v>
      </c>
      <c r="AN226" s="471">
        <f t="shared" si="373"/>
        <v>138.72374157748717</v>
      </c>
      <c r="AP226">
        <f t="shared" si="374"/>
        <v>40.000000000000007</v>
      </c>
      <c r="AQ226">
        <f t="shared" si="375"/>
        <v>138.72374157748717</v>
      </c>
      <c r="AS226" s="5">
        <f t="shared" si="334"/>
        <v>7.2085714285714255</v>
      </c>
      <c r="AT226" s="5">
        <f t="shared" si="376"/>
        <v>0.92272727272727262</v>
      </c>
      <c r="AU226" s="5">
        <f t="shared" si="280"/>
        <v>6.2858441558441527</v>
      </c>
      <c r="AV226" s="5"/>
      <c r="AW226" s="178">
        <f t="shared" si="281"/>
        <v>0.12800417972831771</v>
      </c>
      <c r="AX226" s="178"/>
      <c r="CD226" s="580">
        <f t="shared" si="377"/>
        <v>-50</v>
      </c>
      <c r="CE226">
        <f t="shared" si="378"/>
        <v>-50</v>
      </c>
    </row>
    <row r="227" spans="5:83" x14ac:dyDescent="0.2">
      <c r="E227" s="175">
        <v>11</v>
      </c>
      <c r="F227" s="222">
        <f t="shared" si="379"/>
        <v>4.4000000000000004E-2</v>
      </c>
      <c r="G227" s="222"/>
      <c r="H227" s="222">
        <f t="shared" si="348"/>
        <v>0.52800000000000002</v>
      </c>
      <c r="I227" s="558">
        <f t="shared" si="349"/>
        <v>26.4</v>
      </c>
      <c r="J227" s="453">
        <f t="shared" si="350"/>
        <v>24.5</v>
      </c>
      <c r="K227" s="453">
        <f t="shared" si="351"/>
        <v>50.9</v>
      </c>
      <c r="L227" s="453"/>
      <c r="M227" s="222">
        <f t="shared" si="352"/>
        <v>0.48133595284872299</v>
      </c>
      <c r="N227" s="177">
        <f t="shared" si="353"/>
        <v>8.7521316306483303</v>
      </c>
      <c r="O227" s="177">
        <f t="shared" si="333"/>
        <v>0.52800000000000002</v>
      </c>
      <c r="P227" s="222">
        <f t="shared" si="354"/>
        <v>0.72934430255402749</v>
      </c>
      <c r="Q227" s="222">
        <f t="shared" si="355"/>
        <v>12</v>
      </c>
      <c r="R227" s="222"/>
      <c r="S227" s="177">
        <f t="shared" si="356"/>
        <v>400.05824364737003</v>
      </c>
      <c r="T227" s="177">
        <f t="shared" si="357"/>
        <v>12</v>
      </c>
      <c r="U227" s="222">
        <f t="shared" si="358"/>
        <v>8.7475832438238463E-2</v>
      </c>
      <c r="V227" s="222">
        <f t="shared" si="359"/>
        <v>0.27833219412166788</v>
      </c>
      <c r="W227" s="222">
        <f t="shared" si="360"/>
        <v>0.29991713978824613</v>
      </c>
      <c r="X227" s="202">
        <f t="shared" si="361"/>
        <v>350</v>
      </c>
      <c r="Y227" s="453">
        <f t="shared" si="362"/>
        <v>350</v>
      </c>
      <c r="AA227" s="222">
        <f t="shared" si="363"/>
        <v>0.4322200392927309</v>
      </c>
      <c r="AB227" s="178">
        <f t="shared" si="364"/>
        <v>1.4818972775750774</v>
      </c>
      <c r="AC227" s="178">
        <f t="shared" si="365"/>
        <v>0.22417699483945183</v>
      </c>
      <c r="AD227" s="178"/>
      <c r="AE227" s="178">
        <f t="shared" si="366"/>
        <v>0.99428571428571422</v>
      </c>
      <c r="AF227" s="562">
        <f t="shared" si="367"/>
        <v>152.59611573523588</v>
      </c>
      <c r="AG227" s="545">
        <f t="shared" si="368"/>
        <v>0.10091999999999998</v>
      </c>
      <c r="AI227" s="178">
        <f t="shared" si="369"/>
        <v>0.19148542155126763</v>
      </c>
      <c r="AJ227" s="178">
        <f t="shared" si="370"/>
        <v>0.28999999999999998</v>
      </c>
      <c r="AK227" s="178">
        <f t="shared" si="371"/>
        <v>1.0871977804201347</v>
      </c>
      <c r="AM227" s="562">
        <f t="shared" si="372"/>
        <v>44.000000000000007</v>
      </c>
      <c r="AN227" s="471">
        <f t="shared" si="373"/>
        <v>152.59611573523588</v>
      </c>
      <c r="AP227">
        <f t="shared" si="374"/>
        <v>44.000000000000007</v>
      </c>
      <c r="AQ227">
        <f t="shared" si="375"/>
        <v>152.59611573523588</v>
      </c>
      <c r="AS227" s="5">
        <f t="shared" si="334"/>
        <v>6.5532467532467509</v>
      </c>
      <c r="AT227" s="5">
        <f t="shared" si="376"/>
        <v>0.92272727272727262</v>
      </c>
      <c r="AU227" s="5">
        <f t="shared" si="280"/>
        <v>5.630519480519478</v>
      </c>
      <c r="AV227" s="5"/>
      <c r="AW227" s="178">
        <f t="shared" si="281"/>
        <v>0.14080459770114945</v>
      </c>
      <c r="AX227" s="178"/>
      <c r="CD227" s="580">
        <f t="shared" si="377"/>
        <v>-50</v>
      </c>
      <c r="CE227">
        <f t="shared" si="378"/>
        <v>-50</v>
      </c>
    </row>
    <row r="228" spans="5:83" x14ac:dyDescent="0.2">
      <c r="E228" s="175">
        <v>12</v>
      </c>
      <c r="F228" s="222">
        <f t="shared" si="379"/>
        <v>4.8000000000000001E-2</v>
      </c>
      <c r="G228" s="222"/>
      <c r="H228" s="222">
        <f t="shared" si="348"/>
        <v>0.57600000000000007</v>
      </c>
      <c r="I228" s="558">
        <f t="shared" si="349"/>
        <v>26.4</v>
      </c>
      <c r="J228" s="453">
        <f t="shared" si="350"/>
        <v>24.5</v>
      </c>
      <c r="K228" s="453">
        <f t="shared" si="351"/>
        <v>50.9</v>
      </c>
      <c r="L228" s="453"/>
      <c r="M228" s="222">
        <f t="shared" si="352"/>
        <v>0.48133595284872299</v>
      </c>
      <c r="N228" s="177">
        <f t="shared" si="353"/>
        <v>8.7521316306483303</v>
      </c>
      <c r="O228" s="177">
        <f t="shared" si="333"/>
        <v>0.57600000000000007</v>
      </c>
      <c r="P228" s="222">
        <f t="shared" si="354"/>
        <v>0.72934430255402749</v>
      </c>
      <c r="Q228" s="222">
        <f t="shared" si="355"/>
        <v>12</v>
      </c>
      <c r="R228" s="222"/>
      <c r="S228" s="177">
        <f t="shared" si="356"/>
        <v>365.62151955966385</v>
      </c>
      <c r="T228" s="177">
        <f t="shared" si="357"/>
        <v>12</v>
      </c>
      <c r="U228" s="222">
        <f t="shared" si="358"/>
        <v>9.5428180841714685E-2</v>
      </c>
      <c r="V228" s="222">
        <f t="shared" si="359"/>
        <v>0.30363512086000127</v>
      </c>
      <c r="W228" s="222">
        <f t="shared" si="360"/>
        <v>0.32718233431445026</v>
      </c>
      <c r="X228" s="202">
        <f t="shared" si="361"/>
        <v>350</v>
      </c>
      <c r="Y228" s="453">
        <f t="shared" si="362"/>
        <v>350</v>
      </c>
      <c r="AA228" s="222">
        <f t="shared" si="363"/>
        <v>0.4322200392927309</v>
      </c>
      <c r="AB228" s="178">
        <f t="shared" si="364"/>
        <v>1.4818972775750774</v>
      </c>
      <c r="AC228" s="178">
        <f t="shared" si="365"/>
        <v>0.22417699483945183</v>
      </c>
      <c r="AD228" s="178"/>
      <c r="AE228" s="178">
        <f t="shared" si="366"/>
        <v>0.99428571428571422</v>
      </c>
      <c r="AF228" s="562">
        <f t="shared" si="367"/>
        <v>166.46848989298459</v>
      </c>
      <c r="AG228" s="545">
        <f t="shared" si="368"/>
        <v>0.10091999999999998</v>
      </c>
      <c r="AI228" s="178">
        <f t="shared" si="369"/>
        <v>0.2</v>
      </c>
      <c r="AJ228" s="178">
        <f t="shared" si="370"/>
        <v>0.28999999999999998</v>
      </c>
      <c r="AK228" s="178">
        <f t="shared" si="371"/>
        <v>1.0951248513674197</v>
      </c>
      <c r="AM228" s="562">
        <f t="shared" si="372"/>
        <v>48</v>
      </c>
      <c r="AN228" s="471">
        <f t="shared" si="373"/>
        <v>166.46848989298459</v>
      </c>
      <c r="AP228">
        <f t="shared" si="374"/>
        <v>48</v>
      </c>
      <c r="AQ228">
        <f t="shared" si="375"/>
        <v>166.46848989298459</v>
      </c>
      <c r="AS228" s="5">
        <f t="shared" si="334"/>
        <v>6.0071428571428553</v>
      </c>
      <c r="AT228" s="5">
        <f t="shared" si="376"/>
        <v>0.92272727272727262</v>
      </c>
      <c r="AU228" s="5">
        <f t="shared" si="280"/>
        <v>5.0844155844155825</v>
      </c>
      <c r="AV228" s="5"/>
      <c r="AW228" s="178">
        <f t="shared" si="281"/>
        <v>0.15360501567398122</v>
      </c>
      <c r="AX228" s="178"/>
      <c r="CD228" s="580">
        <f t="shared" si="377"/>
        <v>-50</v>
      </c>
      <c r="CE228">
        <f t="shared" si="378"/>
        <v>-50</v>
      </c>
    </row>
    <row r="229" spans="5:83" x14ac:dyDescent="0.2">
      <c r="E229" s="175">
        <v>13</v>
      </c>
      <c r="F229" s="222">
        <f t="shared" si="379"/>
        <v>5.2000000000000005E-2</v>
      </c>
      <c r="G229" s="222"/>
      <c r="H229" s="222">
        <f t="shared" si="348"/>
        <v>0.62400000000000011</v>
      </c>
      <c r="I229" s="558">
        <f t="shared" si="349"/>
        <v>26.4</v>
      </c>
      <c r="J229" s="453">
        <f t="shared" si="350"/>
        <v>24.5</v>
      </c>
      <c r="K229" s="453">
        <f t="shared" si="351"/>
        <v>50.9</v>
      </c>
      <c r="L229" s="453"/>
      <c r="M229" s="222">
        <f t="shared" si="352"/>
        <v>0.48133595284872299</v>
      </c>
      <c r="N229" s="177">
        <f t="shared" si="353"/>
        <v>8.7521316306483303</v>
      </c>
      <c r="O229" s="177">
        <f t="shared" si="333"/>
        <v>0.62400000000000011</v>
      </c>
      <c r="P229" s="222">
        <f t="shared" si="354"/>
        <v>0.72934430255402749</v>
      </c>
      <c r="Q229" s="222">
        <f t="shared" si="355"/>
        <v>12</v>
      </c>
      <c r="R229" s="222"/>
      <c r="S229" s="177">
        <f t="shared" si="356"/>
        <v>336.48287697595447</v>
      </c>
      <c r="T229" s="177">
        <f t="shared" si="357"/>
        <v>12</v>
      </c>
      <c r="U229" s="222">
        <f t="shared" si="358"/>
        <v>0.10338052924519092</v>
      </c>
      <c r="V229" s="222">
        <f t="shared" si="359"/>
        <v>0.32893804759833478</v>
      </c>
      <c r="W229" s="222">
        <f t="shared" si="360"/>
        <v>0.35444752884065461</v>
      </c>
      <c r="X229" s="202">
        <f t="shared" si="361"/>
        <v>350</v>
      </c>
      <c r="Y229" s="453">
        <f t="shared" si="362"/>
        <v>350</v>
      </c>
      <c r="AA229" s="222">
        <f t="shared" si="363"/>
        <v>0.4322200392927309</v>
      </c>
      <c r="AB229" s="178">
        <f t="shared" si="364"/>
        <v>1.4818972775750774</v>
      </c>
      <c r="AC229" s="178">
        <f t="shared" si="365"/>
        <v>0.22417699483945183</v>
      </c>
      <c r="AD229" s="178"/>
      <c r="AE229" s="178">
        <f t="shared" si="366"/>
        <v>0.99428571428571422</v>
      </c>
      <c r="AF229" s="562">
        <f t="shared" si="367"/>
        <v>180.3408640507333</v>
      </c>
      <c r="AG229" s="545">
        <f t="shared" si="368"/>
        <v>0.10091999999999998</v>
      </c>
      <c r="AI229" s="178">
        <f t="shared" si="369"/>
        <v>0.2081665999466133</v>
      </c>
      <c r="AJ229" s="178">
        <f t="shared" si="370"/>
        <v>0.28999999999999998</v>
      </c>
      <c r="AK229" s="178">
        <f t="shared" si="371"/>
        <v>1.1030519223147048</v>
      </c>
      <c r="AM229" s="562">
        <f t="shared" si="372"/>
        <v>52.000000000000007</v>
      </c>
      <c r="AN229" s="471">
        <f t="shared" si="373"/>
        <v>180.3408640507333</v>
      </c>
      <c r="AP229">
        <f t="shared" si="374"/>
        <v>52.000000000000007</v>
      </c>
      <c r="AQ229">
        <f t="shared" si="375"/>
        <v>180.3408640507333</v>
      </c>
      <c r="AS229" s="5">
        <f t="shared" si="334"/>
        <v>5.545054945054944</v>
      </c>
      <c r="AT229" s="5">
        <f t="shared" si="376"/>
        <v>0.92272727272727262</v>
      </c>
      <c r="AU229" s="5">
        <f t="shared" si="280"/>
        <v>4.6223276723276712</v>
      </c>
      <c r="AV229" s="5"/>
      <c r="AW229" s="178">
        <f t="shared" si="281"/>
        <v>0.16640543364681296</v>
      </c>
      <c r="AX229" s="178"/>
      <c r="CD229" s="580">
        <f t="shared" si="377"/>
        <v>-50</v>
      </c>
      <c r="CE229">
        <f t="shared" si="378"/>
        <v>-50</v>
      </c>
    </row>
    <row r="230" spans="5:83" x14ac:dyDescent="0.2">
      <c r="E230" s="175">
        <v>14</v>
      </c>
      <c r="F230" s="222">
        <f t="shared" si="379"/>
        <v>5.6000000000000008E-2</v>
      </c>
      <c r="G230" s="222"/>
      <c r="H230" s="222">
        <f t="shared" si="348"/>
        <v>0.67200000000000015</v>
      </c>
      <c r="I230" s="558">
        <f t="shared" si="349"/>
        <v>26.4</v>
      </c>
      <c r="J230" s="453">
        <f t="shared" si="350"/>
        <v>24.5</v>
      </c>
      <c r="K230" s="453">
        <f t="shared" si="351"/>
        <v>50.9</v>
      </c>
      <c r="L230" s="453"/>
      <c r="M230" s="222">
        <f t="shared" si="352"/>
        <v>0.48133595284872299</v>
      </c>
      <c r="N230" s="177">
        <f t="shared" si="353"/>
        <v>8.7521316306483303</v>
      </c>
      <c r="O230" s="177">
        <f t="shared" si="333"/>
        <v>0.67200000000000015</v>
      </c>
      <c r="P230" s="222">
        <f t="shared" si="354"/>
        <v>0.72934430255402749</v>
      </c>
      <c r="Q230" s="222">
        <f t="shared" si="355"/>
        <v>12</v>
      </c>
      <c r="R230" s="222"/>
      <c r="S230" s="177">
        <f t="shared" si="356"/>
        <v>311.50701373825569</v>
      </c>
      <c r="T230" s="177">
        <f t="shared" si="357"/>
        <v>12</v>
      </c>
      <c r="U230" s="222">
        <f t="shared" si="358"/>
        <v>0.11133287764866714</v>
      </c>
      <c r="V230" s="222">
        <f t="shared" si="359"/>
        <v>0.35424097433666818</v>
      </c>
      <c r="W230" s="222">
        <f t="shared" si="360"/>
        <v>0.38171272336685874</v>
      </c>
      <c r="X230" s="202">
        <f t="shared" si="361"/>
        <v>350</v>
      </c>
      <c r="Y230" s="453">
        <f t="shared" si="362"/>
        <v>350</v>
      </c>
      <c r="AA230" s="222">
        <f t="shared" si="363"/>
        <v>0.4322200392927309</v>
      </c>
      <c r="AB230" s="178">
        <f t="shared" si="364"/>
        <v>1.4818972775750774</v>
      </c>
      <c r="AC230" s="178">
        <f t="shared" si="365"/>
        <v>0.22417699483945183</v>
      </c>
      <c r="AD230" s="178"/>
      <c r="AE230" s="178">
        <f t="shared" si="366"/>
        <v>0.99428571428571422</v>
      </c>
      <c r="AF230" s="562">
        <f t="shared" si="367"/>
        <v>194.21323820848204</v>
      </c>
      <c r="AG230" s="545">
        <f t="shared" si="368"/>
        <v>0.10091999999999998</v>
      </c>
      <c r="AI230" s="178">
        <f t="shared" si="369"/>
        <v>0.21602468994692869</v>
      </c>
      <c r="AJ230" s="178">
        <f t="shared" si="370"/>
        <v>0.28999999999999998</v>
      </c>
      <c r="AK230" s="178">
        <f t="shared" si="371"/>
        <v>1.1109789932619898</v>
      </c>
      <c r="AM230" s="562">
        <f t="shared" si="372"/>
        <v>56.000000000000007</v>
      </c>
      <c r="AN230" s="471">
        <f t="shared" si="373"/>
        <v>194.21323820848204</v>
      </c>
      <c r="AP230">
        <f t="shared" si="374"/>
        <v>56.000000000000007</v>
      </c>
      <c r="AQ230">
        <f t="shared" si="375"/>
        <v>194.21323820848204</v>
      </c>
      <c r="AS230" s="5">
        <f t="shared" si="334"/>
        <v>5.1489795918367331</v>
      </c>
      <c r="AT230" s="5">
        <f t="shared" si="376"/>
        <v>0.92272727272727262</v>
      </c>
      <c r="AU230" s="5">
        <f t="shared" si="280"/>
        <v>4.2262523191094603</v>
      </c>
      <c r="AV230" s="5"/>
      <c r="AW230" s="178">
        <f t="shared" si="281"/>
        <v>0.17920585161964475</v>
      </c>
      <c r="AX230" s="178"/>
      <c r="CD230" s="580">
        <f t="shared" si="377"/>
        <v>-50</v>
      </c>
      <c r="CE230">
        <f t="shared" si="378"/>
        <v>-50</v>
      </c>
    </row>
    <row r="231" spans="5:83" x14ac:dyDescent="0.2">
      <c r="E231" s="175">
        <v>15</v>
      </c>
      <c r="F231" s="222">
        <f t="shared" si="379"/>
        <v>0.06</v>
      </c>
      <c r="G231" s="222"/>
      <c r="H231" s="222">
        <f t="shared" si="348"/>
        <v>0.72</v>
      </c>
      <c r="I231" s="558">
        <f t="shared" si="349"/>
        <v>26.4</v>
      </c>
      <c r="J231" s="453">
        <f t="shared" si="350"/>
        <v>24.5</v>
      </c>
      <c r="K231" s="453">
        <f t="shared" si="351"/>
        <v>50.9</v>
      </c>
      <c r="L231" s="453"/>
      <c r="M231" s="222">
        <f t="shared" si="352"/>
        <v>0.48133595284872299</v>
      </c>
      <c r="N231" s="177">
        <f t="shared" si="353"/>
        <v>8.7521316306483303</v>
      </c>
      <c r="O231" s="177">
        <f t="shared" si="333"/>
        <v>0.72</v>
      </c>
      <c r="P231" s="222">
        <f t="shared" si="354"/>
        <v>0.72934430255402749</v>
      </c>
      <c r="Q231" s="222">
        <f t="shared" si="355"/>
        <v>12</v>
      </c>
      <c r="R231" s="222"/>
      <c r="S231" s="177">
        <f t="shared" si="356"/>
        <v>289.86137494178104</v>
      </c>
      <c r="T231" s="177">
        <f t="shared" si="357"/>
        <v>12</v>
      </c>
      <c r="U231" s="222">
        <f t="shared" si="358"/>
        <v>0.11928522605214334</v>
      </c>
      <c r="V231" s="222">
        <f t="shared" si="359"/>
        <v>0.37954390107500152</v>
      </c>
      <c r="W231" s="222">
        <f t="shared" si="360"/>
        <v>0.40897791789306287</v>
      </c>
      <c r="X231" s="202">
        <f t="shared" si="361"/>
        <v>350</v>
      </c>
      <c r="Y231" s="453">
        <f t="shared" si="362"/>
        <v>350</v>
      </c>
      <c r="AA231" s="222">
        <f t="shared" si="363"/>
        <v>0.4322200392927309</v>
      </c>
      <c r="AB231" s="178">
        <f t="shared" si="364"/>
        <v>1.4818972775750774</v>
      </c>
      <c r="AC231" s="178">
        <f t="shared" si="365"/>
        <v>0.22417699483945183</v>
      </c>
      <c r="AD231" s="178"/>
      <c r="AE231" s="178">
        <f t="shared" si="366"/>
        <v>0.99428571428571422</v>
      </c>
      <c r="AF231" s="562">
        <f t="shared" si="367"/>
        <v>208.08561236623072</v>
      </c>
      <c r="AG231" s="545">
        <f t="shared" si="368"/>
        <v>0.10091999999999998</v>
      </c>
      <c r="AI231" s="178">
        <f t="shared" si="369"/>
        <v>0.22360679774997896</v>
      </c>
      <c r="AJ231" s="178">
        <f t="shared" si="370"/>
        <v>0.28999999999999998</v>
      </c>
      <c r="AK231" s="178">
        <f t="shared" si="371"/>
        <v>1.1189060642092747</v>
      </c>
      <c r="AM231" s="562">
        <f t="shared" si="372"/>
        <v>60</v>
      </c>
      <c r="AN231" s="471">
        <f t="shared" si="373"/>
        <v>208.08561236623072</v>
      </c>
      <c r="AP231">
        <f t="shared" si="374"/>
        <v>60</v>
      </c>
      <c r="AQ231">
        <f t="shared" si="375"/>
        <v>208.08561236623072</v>
      </c>
      <c r="AS231" s="5">
        <f t="shared" si="334"/>
        <v>4.8057142857142843</v>
      </c>
      <c r="AT231" s="5">
        <f t="shared" si="376"/>
        <v>0.92272727272727262</v>
      </c>
      <c r="AU231" s="5">
        <f t="shared" si="280"/>
        <v>3.8829870129870114</v>
      </c>
      <c r="AV231" s="5"/>
      <c r="AW231" s="178">
        <f t="shared" si="281"/>
        <v>0.19200626959247652</v>
      </c>
      <c r="AX231" s="178"/>
      <c r="CD231" s="580">
        <f t="shared" si="377"/>
        <v>-50</v>
      </c>
      <c r="CE231">
        <f t="shared" si="378"/>
        <v>-50</v>
      </c>
    </row>
    <row r="232" spans="5:83" x14ac:dyDescent="0.2">
      <c r="E232" s="175">
        <v>16</v>
      </c>
      <c r="F232" s="222">
        <f t="shared" si="379"/>
        <v>6.4000000000000001E-2</v>
      </c>
      <c r="G232" s="222"/>
      <c r="H232" s="222">
        <f t="shared" si="348"/>
        <v>0.76800000000000002</v>
      </c>
      <c r="I232" s="558">
        <f t="shared" si="349"/>
        <v>26.4</v>
      </c>
      <c r="J232" s="453">
        <f t="shared" si="350"/>
        <v>24.5</v>
      </c>
      <c r="K232" s="453">
        <f t="shared" si="351"/>
        <v>50.9</v>
      </c>
      <c r="L232" s="453"/>
      <c r="M232" s="222">
        <f t="shared" si="352"/>
        <v>0.48133595284872299</v>
      </c>
      <c r="N232" s="177">
        <f t="shared" si="353"/>
        <v>8.7521316306483303</v>
      </c>
      <c r="O232" s="177">
        <f t="shared" si="333"/>
        <v>0.76800000000000002</v>
      </c>
      <c r="P232" s="222">
        <f t="shared" si="354"/>
        <v>0.72934430255402749</v>
      </c>
      <c r="Q232" s="222">
        <f t="shared" si="355"/>
        <v>12</v>
      </c>
      <c r="R232" s="222"/>
      <c r="S232" s="177">
        <f t="shared" si="356"/>
        <v>270.9215444184656</v>
      </c>
      <c r="T232" s="177">
        <f t="shared" si="357"/>
        <v>12</v>
      </c>
      <c r="U232" s="222">
        <f t="shared" si="358"/>
        <v>0.12723757445561956</v>
      </c>
      <c r="V232" s="222">
        <f t="shared" si="359"/>
        <v>0.40484682781333498</v>
      </c>
      <c r="W232" s="222">
        <f t="shared" si="360"/>
        <v>0.43624311241926705</v>
      </c>
      <c r="X232" s="202">
        <f t="shared" si="361"/>
        <v>350</v>
      </c>
      <c r="Y232" s="453">
        <f t="shared" si="362"/>
        <v>350</v>
      </c>
      <c r="AA232" s="222">
        <f t="shared" si="363"/>
        <v>0.4322200392927309</v>
      </c>
      <c r="AB232" s="178">
        <f t="shared" si="364"/>
        <v>1.4818972775750774</v>
      </c>
      <c r="AC232" s="178">
        <f t="shared" si="365"/>
        <v>0.22417699483945183</v>
      </c>
      <c r="AD232" s="178"/>
      <c r="AE232" s="178">
        <f t="shared" si="366"/>
        <v>0.99428571428571422</v>
      </c>
      <c r="AF232" s="562">
        <f t="shared" si="367"/>
        <v>221.95798652397946</v>
      </c>
      <c r="AG232" s="545">
        <f t="shared" si="368"/>
        <v>0.10091999999999998</v>
      </c>
      <c r="AI232" s="178">
        <f t="shared" si="369"/>
        <v>0.23094010767585033</v>
      </c>
      <c r="AJ232" s="178">
        <f t="shared" si="370"/>
        <v>0.28999999999999998</v>
      </c>
      <c r="AK232" s="178">
        <f t="shared" si="371"/>
        <v>1.1268331351565597</v>
      </c>
      <c r="AM232" s="562">
        <f t="shared" si="372"/>
        <v>64</v>
      </c>
      <c r="AN232" s="471">
        <f t="shared" si="373"/>
        <v>221.95798652397946</v>
      </c>
      <c r="AP232">
        <f t="shared" si="374"/>
        <v>64</v>
      </c>
      <c r="AQ232">
        <f t="shared" si="375"/>
        <v>221.95798652397946</v>
      </c>
      <c r="AS232" s="5">
        <f t="shared" si="334"/>
        <v>4.5053571428571413</v>
      </c>
      <c r="AT232" s="5">
        <f t="shared" si="376"/>
        <v>0.92272727272727262</v>
      </c>
      <c r="AU232" s="5">
        <f t="shared" si="280"/>
        <v>3.5826298701298684</v>
      </c>
      <c r="AV232" s="5"/>
      <c r="AW232" s="178">
        <f t="shared" si="281"/>
        <v>0.20480668756530832</v>
      </c>
      <c r="AX232" s="178"/>
      <c r="CD232" s="580">
        <f t="shared" si="377"/>
        <v>-50</v>
      </c>
      <c r="CE232">
        <f t="shared" si="378"/>
        <v>-50</v>
      </c>
    </row>
    <row r="233" spans="5:83" x14ac:dyDescent="0.2">
      <c r="E233" s="175">
        <v>17</v>
      </c>
      <c r="F233" s="222">
        <f t="shared" si="379"/>
        <v>6.8000000000000005E-2</v>
      </c>
      <c r="G233" s="222"/>
      <c r="H233" s="222">
        <f t="shared" si="348"/>
        <v>0.81600000000000006</v>
      </c>
      <c r="I233" s="558">
        <f t="shared" si="349"/>
        <v>26.4</v>
      </c>
      <c r="J233" s="453">
        <f t="shared" si="350"/>
        <v>24.5</v>
      </c>
      <c r="K233" s="453">
        <f t="shared" si="351"/>
        <v>50.9</v>
      </c>
      <c r="L233" s="453"/>
      <c r="M233" s="222">
        <f t="shared" si="352"/>
        <v>0.48133595284872299</v>
      </c>
      <c r="N233" s="177">
        <f t="shared" si="353"/>
        <v>8.7521316306483303</v>
      </c>
      <c r="O233" s="177">
        <f t="shared" si="333"/>
        <v>0.81600000000000006</v>
      </c>
      <c r="P233" s="222">
        <f t="shared" si="354"/>
        <v>0.72934430255402749</v>
      </c>
      <c r="Q233" s="222">
        <f t="shared" si="355"/>
        <v>12</v>
      </c>
      <c r="R233" s="222"/>
      <c r="S233" s="177">
        <f t="shared" si="356"/>
        <v>254.21002746160156</v>
      </c>
      <c r="T233" s="177">
        <f t="shared" si="357"/>
        <v>12</v>
      </c>
      <c r="U233" s="222">
        <f t="shared" si="358"/>
        <v>0.13518992285909581</v>
      </c>
      <c r="V233" s="222">
        <f t="shared" si="359"/>
        <v>0.43014975455166854</v>
      </c>
      <c r="W233" s="222">
        <f t="shared" si="360"/>
        <v>0.46350830694547135</v>
      </c>
      <c r="X233" s="202">
        <f t="shared" si="361"/>
        <v>350</v>
      </c>
      <c r="Y233" s="453">
        <f t="shared" si="362"/>
        <v>350</v>
      </c>
      <c r="AA233" s="222">
        <f t="shared" si="363"/>
        <v>0.4322200392927309</v>
      </c>
      <c r="AB233" s="178">
        <f t="shared" si="364"/>
        <v>1.4818972775750774</v>
      </c>
      <c r="AC233" s="178">
        <f t="shared" si="365"/>
        <v>0.22417699483945183</v>
      </c>
      <c r="AD233" s="178"/>
      <c r="AE233" s="178">
        <f t="shared" si="366"/>
        <v>0.99428571428571422</v>
      </c>
      <c r="AF233" s="562">
        <f t="shared" si="367"/>
        <v>235.83036068172817</v>
      </c>
      <c r="AG233" s="545">
        <f t="shared" si="368"/>
        <v>0.10091999999999998</v>
      </c>
      <c r="AI233" s="178">
        <f t="shared" si="369"/>
        <v>0.23804761428476168</v>
      </c>
      <c r="AJ233" s="178">
        <f t="shared" si="370"/>
        <v>0.28999999999999998</v>
      </c>
      <c r="AK233" s="178">
        <f t="shared" si="371"/>
        <v>1.1347602061038446</v>
      </c>
      <c r="AM233" s="562">
        <f t="shared" si="372"/>
        <v>68</v>
      </c>
      <c r="AN233" s="471">
        <f t="shared" si="373"/>
        <v>235.83036068172817</v>
      </c>
      <c r="AP233">
        <f t="shared" si="374"/>
        <v>68</v>
      </c>
      <c r="AQ233">
        <f t="shared" si="375"/>
        <v>235.83036068172817</v>
      </c>
      <c r="AS233" s="5">
        <f t="shared" si="334"/>
        <v>4.2403361344537807</v>
      </c>
      <c r="AT233" s="5">
        <f t="shared" si="376"/>
        <v>0.92272727272727262</v>
      </c>
      <c r="AU233" s="5">
        <f t="shared" si="280"/>
        <v>3.3176088617265078</v>
      </c>
      <c r="AV233" s="5"/>
      <c r="AW233" s="178">
        <f t="shared" si="281"/>
        <v>0.21760710553814003</v>
      </c>
      <c r="AX233" s="178"/>
      <c r="CD233" s="580">
        <f t="shared" si="377"/>
        <v>-50</v>
      </c>
      <c r="CE233">
        <f t="shared" si="378"/>
        <v>-50</v>
      </c>
    </row>
    <row r="234" spans="5:83" x14ac:dyDescent="0.2">
      <c r="E234" s="175">
        <v>18</v>
      </c>
      <c r="F234" s="222">
        <f t="shared" si="379"/>
        <v>7.1999999999999995E-2</v>
      </c>
      <c r="G234" s="222"/>
      <c r="H234" s="222">
        <f t="shared" si="348"/>
        <v>0.86399999999999988</v>
      </c>
      <c r="I234" s="558">
        <f t="shared" si="349"/>
        <v>26.4</v>
      </c>
      <c r="J234" s="453">
        <f t="shared" si="350"/>
        <v>24.5</v>
      </c>
      <c r="K234" s="453">
        <f t="shared" si="351"/>
        <v>50.9</v>
      </c>
      <c r="L234" s="453"/>
      <c r="M234" s="222">
        <f t="shared" si="352"/>
        <v>0.48133595284872299</v>
      </c>
      <c r="N234" s="177">
        <f t="shared" si="353"/>
        <v>8.7521316306483303</v>
      </c>
      <c r="O234" s="177">
        <f t="shared" si="333"/>
        <v>0.86399999999999988</v>
      </c>
      <c r="P234" s="222">
        <f t="shared" si="354"/>
        <v>0.72934430255402749</v>
      </c>
      <c r="Q234" s="222">
        <f t="shared" si="355"/>
        <v>12</v>
      </c>
      <c r="R234" s="222"/>
      <c r="S234" s="177">
        <f t="shared" si="356"/>
        <v>239.35543930893022</v>
      </c>
      <c r="T234" s="177">
        <f t="shared" si="357"/>
        <v>12</v>
      </c>
      <c r="U234" s="222">
        <f t="shared" si="358"/>
        <v>0.14314227126257201</v>
      </c>
      <c r="V234" s="222">
        <f t="shared" si="359"/>
        <v>0.45545268129000183</v>
      </c>
      <c r="W234" s="222">
        <f t="shared" si="360"/>
        <v>0.49077350147167542</v>
      </c>
      <c r="X234" s="202">
        <f t="shared" si="361"/>
        <v>350</v>
      </c>
      <c r="Y234" s="453">
        <f t="shared" si="362"/>
        <v>350</v>
      </c>
      <c r="AA234" s="222">
        <f t="shared" si="363"/>
        <v>0.4322200392927309</v>
      </c>
      <c r="AB234" s="178">
        <f t="shared" si="364"/>
        <v>1.4818972775750774</v>
      </c>
      <c r="AC234" s="178">
        <f t="shared" si="365"/>
        <v>0.22417699483945183</v>
      </c>
      <c r="AD234" s="178"/>
      <c r="AE234" s="178">
        <f t="shared" si="366"/>
        <v>0.99428571428571422</v>
      </c>
      <c r="AF234" s="562">
        <f t="shared" si="367"/>
        <v>249.70273483947685</v>
      </c>
      <c r="AG234" s="545">
        <f t="shared" si="368"/>
        <v>0.10091999999999998</v>
      </c>
      <c r="AI234" s="178">
        <f t="shared" si="369"/>
        <v>0.2449489742783178</v>
      </c>
      <c r="AJ234" s="178">
        <f t="shared" si="370"/>
        <v>0.28999999999999998</v>
      </c>
      <c r="AK234" s="178">
        <f t="shared" si="371"/>
        <v>1.1426872770511296</v>
      </c>
      <c r="AM234" s="562">
        <f t="shared" si="372"/>
        <v>72</v>
      </c>
      <c r="AN234" s="471">
        <f t="shared" si="373"/>
        <v>249.70273483947685</v>
      </c>
      <c r="AP234">
        <f t="shared" si="374"/>
        <v>72</v>
      </c>
      <c r="AQ234">
        <f t="shared" si="375"/>
        <v>249.70273483947685</v>
      </c>
      <c r="AS234" s="5">
        <f t="shared" si="334"/>
        <v>4.0047619047619039</v>
      </c>
      <c r="AT234" s="5">
        <f t="shared" si="376"/>
        <v>0.92272727272727262</v>
      </c>
      <c r="AU234" s="5">
        <f t="shared" ref="AU234:AU297" si="380">AS234-AT234</f>
        <v>3.082034632034631</v>
      </c>
      <c r="AV234" s="5"/>
      <c r="AW234" s="178">
        <f t="shared" ref="AW234:AW297" si="381">AT234/AS234</f>
        <v>0.23040752351097182</v>
      </c>
      <c r="AX234" s="178"/>
      <c r="CD234" s="580">
        <f t="shared" si="377"/>
        <v>-50</v>
      </c>
      <c r="CE234">
        <f t="shared" si="378"/>
        <v>-50</v>
      </c>
    </row>
    <row r="235" spans="5:83" x14ac:dyDescent="0.2">
      <c r="E235" s="175">
        <v>19</v>
      </c>
      <c r="F235" s="222">
        <f t="shared" si="379"/>
        <v>7.6000000000000012E-2</v>
      </c>
      <c r="G235" s="222"/>
      <c r="H235" s="222">
        <f t="shared" si="348"/>
        <v>0.91200000000000014</v>
      </c>
      <c r="I235" s="558">
        <f t="shared" si="349"/>
        <v>26.4</v>
      </c>
      <c r="J235" s="453">
        <f t="shared" si="350"/>
        <v>24.5</v>
      </c>
      <c r="K235" s="453">
        <f t="shared" si="351"/>
        <v>50.9</v>
      </c>
      <c r="L235" s="453"/>
      <c r="M235" s="222">
        <f t="shared" si="352"/>
        <v>0.48133595284872299</v>
      </c>
      <c r="N235" s="177">
        <f t="shared" si="353"/>
        <v>8.7521316306483303</v>
      </c>
      <c r="O235" s="177">
        <f t="shared" si="333"/>
        <v>0.91200000000000014</v>
      </c>
      <c r="P235" s="222">
        <f t="shared" si="354"/>
        <v>0.72934430255402749</v>
      </c>
      <c r="Q235" s="222">
        <f t="shared" si="355"/>
        <v>12</v>
      </c>
      <c r="R235" s="222"/>
      <c r="S235" s="177">
        <f t="shared" si="356"/>
        <v>226.06458147317997</v>
      </c>
      <c r="T235" s="177">
        <f t="shared" si="357"/>
        <v>12</v>
      </c>
      <c r="U235" s="222">
        <f t="shared" si="358"/>
        <v>0.15109461966604826</v>
      </c>
      <c r="V235" s="222">
        <f t="shared" si="359"/>
        <v>0.48075560802833528</v>
      </c>
      <c r="W235" s="222">
        <f t="shared" si="360"/>
        <v>0.51803869599787966</v>
      </c>
      <c r="X235" s="202">
        <f t="shared" si="361"/>
        <v>350</v>
      </c>
      <c r="Y235" s="453">
        <f t="shared" si="362"/>
        <v>350</v>
      </c>
      <c r="AA235" s="222">
        <f t="shared" si="363"/>
        <v>0.4322200392927309</v>
      </c>
      <c r="AB235" s="178">
        <f t="shared" si="364"/>
        <v>1.4818972775750774</v>
      </c>
      <c r="AC235" s="178">
        <f t="shared" si="365"/>
        <v>0.22417699483945183</v>
      </c>
      <c r="AD235" s="178"/>
      <c r="AE235" s="178">
        <f t="shared" si="366"/>
        <v>0.99428571428571422</v>
      </c>
      <c r="AF235" s="562">
        <f t="shared" si="367"/>
        <v>263.57510899722564</v>
      </c>
      <c r="AG235" s="545">
        <f t="shared" si="368"/>
        <v>0.10091999999999998</v>
      </c>
      <c r="AI235" s="178">
        <f t="shared" si="369"/>
        <v>0.25166114784235838</v>
      </c>
      <c r="AJ235" s="178">
        <f t="shared" si="370"/>
        <v>0.28999999999999998</v>
      </c>
      <c r="AK235" s="178">
        <f t="shared" si="371"/>
        <v>1.1506143479984146</v>
      </c>
      <c r="AM235" s="562">
        <f t="shared" si="372"/>
        <v>76.000000000000014</v>
      </c>
      <c r="AN235" s="471">
        <f t="shared" si="373"/>
        <v>263.57510899722564</v>
      </c>
      <c r="AP235">
        <f t="shared" si="374"/>
        <v>76.000000000000014</v>
      </c>
      <c r="AQ235">
        <f t="shared" si="375"/>
        <v>263.57510899722564</v>
      </c>
      <c r="AS235" s="5">
        <f t="shared" si="334"/>
        <v>3.7939849624060131</v>
      </c>
      <c r="AT235" s="5">
        <f t="shared" si="376"/>
        <v>0.92272727272727262</v>
      </c>
      <c r="AU235" s="5">
        <f t="shared" si="380"/>
        <v>2.8712576896787407</v>
      </c>
      <c r="AV235" s="5"/>
      <c r="AW235" s="178">
        <f t="shared" si="381"/>
        <v>0.24320794148380365</v>
      </c>
      <c r="AX235" s="178"/>
      <c r="CD235" s="580">
        <f t="shared" si="377"/>
        <v>-50</v>
      </c>
      <c r="CE235">
        <f t="shared" si="378"/>
        <v>-50</v>
      </c>
    </row>
    <row r="236" spans="5:83" x14ac:dyDescent="0.2">
      <c r="E236" s="175">
        <v>20</v>
      </c>
      <c r="F236" s="222">
        <f t="shared" si="379"/>
        <v>8.0000000000000016E-2</v>
      </c>
      <c r="G236" s="222"/>
      <c r="H236" s="222">
        <f t="shared" si="348"/>
        <v>0.96000000000000019</v>
      </c>
      <c r="I236" s="558">
        <f t="shared" si="349"/>
        <v>26.4</v>
      </c>
      <c r="J236" s="453">
        <f t="shared" si="350"/>
        <v>24.5</v>
      </c>
      <c r="K236" s="453">
        <f t="shared" si="351"/>
        <v>50.9</v>
      </c>
      <c r="L236" s="453"/>
      <c r="M236" s="222">
        <f t="shared" si="352"/>
        <v>0.48133595284872299</v>
      </c>
      <c r="N236" s="177">
        <f t="shared" si="353"/>
        <v>8.7521316306483303</v>
      </c>
      <c r="O236" s="177">
        <f t="shared" si="333"/>
        <v>0.96000000000000019</v>
      </c>
      <c r="P236" s="222">
        <f t="shared" si="354"/>
        <v>0.72934430255402749</v>
      </c>
      <c r="Q236" s="222">
        <f t="shared" si="355"/>
        <v>12</v>
      </c>
      <c r="R236" s="222"/>
      <c r="S236" s="177">
        <f t="shared" si="356"/>
        <v>214.1028951734466</v>
      </c>
      <c r="T236" s="177">
        <f t="shared" si="357"/>
        <v>12</v>
      </c>
      <c r="U236" s="222">
        <f t="shared" si="358"/>
        <v>0.15904696806952451</v>
      </c>
      <c r="V236" s="222">
        <f t="shared" si="359"/>
        <v>0.50605853476666884</v>
      </c>
      <c r="W236" s="222">
        <f t="shared" si="360"/>
        <v>0.54530389052408401</v>
      </c>
      <c r="X236" s="202">
        <f t="shared" si="361"/>
        <v>350</v>
      </c>
      <c r="Y236" s="453">
        <f t="shared" si="362"/>
        <v>350</v>
      </c>
      <c r="AA236" s="222">
        <f t="shared" si="363"/>
        <v>0.4322200392927309</v>
      </c>
      <c r="AB236" s="178">
        <f t="shared" si="364"/>
        <v>1.4818972775750774</v>
      </c>
      <c r="AC236" s="178">
        <f t="shared" si="365"/>
        <v>0.22417699483945183</v>
      </c>
      <c r="AD236" s="178"/>
      <c r="AE236" s="178">
        <f t="shared" si="366"/>
        <v>0.99428571428571422</v>
      </c>
      <c r="AF236" s="562">
        <f t="shared" si="367"/>
        <v>277.44748315497435</v>
      </c>
      <c r="AG236" s="545">
        <f t="shared" si="368"/>
        <v>0.10091999999999998</v>
      </c>
      <c r="AI236" s="178">
        <f t="shared" si="369"/>
        <v>0.25819888974716115</v>
      </c>
      <c r="AJ236" s="178">
        <f t="shared" si="370"/>
        <v>0.28999999999999998</v>
      </c>
      <c r="AK236" s="178">
        <f t="shared" si="371"/>
        <v>1.1585414189456995</v>
      </c>
      <c r="AM236" s="562">
        <f t="shared" si="372"/>
        <v>80.000000000000014</v>
      </c>
      <c r="AN236" s="471">
        <f t="shared" si="373"/>
        <v>277.44748315497435</v>
      </c>
      <c r="AP236">
        <f t="shared" si="374"/>
        <v>80.000000000000014</v>
      </c>
      <c r="AQ236">
        <f t="shared" si="375"/>
        <v>277.44748315497435</v>
      </c>
      <c r="AS236" s="5">
        <f t="shared" si="334"/>
        <v>3.6042857142857128</v>
      </c>
      <c r="AT236" s="5">
        <f t="shared" si="376"/>
        <v>0.92272727272727262</v>
      </c>
      <c r="AU236" s="5">
        <f t="shared" si="380"/>
        <v>2.6815584415584404</v>
      </c>
      <c r="AV236" s="5"/>
      <c r="AW236" s="178">
        <f t="shared" si="381"/>
        <v>0.25600835945663541</v>
      </c>
      <c r="AX236" s="178"/>
      <c r="CD236" s="580">
        <f t="shared" si="377"/>
        <v>-50</v>
      </c>
      <c r="CE236">
        <f t="shared" si="378"/>
        <v>-50</v>
      </c>
    </row>
    <row r="237" spans="5:83" x14ac:dyDescent="0.2">
      <c r="E237" s="175">
        <v>21</v>
      </c>
      <c r="F237" s="222">
        <f t="shared" si="379"/>
        <v>8.4000000000000005E-2</v>
      </c>
      <c r="G237" s="222"/>
      <c r="H237" s="222">
        <f t="shared" si="348"/>
        <v>1.008</v>
      </c>
      <c r="I237" s="558">
        <f t="shared" si="349"/>
        <v>26.4</v>
      </c>
      <c r="J237" s="453">
        <f t="shared" si="350"/>
        <v>24.5</v>
      </c>
      <c r="K237" s="453">
        <f t="shared" si="351"/>
        <v>50.9</v>
      </c>
      <c r="L237" s="453"/>
      <c r="M237" s="222">
        <f t="shared" si="352"/>
        <v>0.48133595284872299</v>
      </c>
      <c r="N237" s="177">
        <f t="shared" si="353"/>
        <v>8.7521316306483303</v>
      </c>
      <c r="O237" s="177">
        <f t="shared" si="333"/>
        <v>1.008</v>
      </c>
      <c r="P237" s="222">
        <f t="shared" si="354"/>
        <v>0.72934430255402749</v>
      </c>
      <c r="Q237" s="222">
        <f t="shared" si="355"/>
        <v>12</v>
      </c>
      <c r="R237" s="222"/>
      <c r="S237" s="177">
        <f t="shared" si="356"/>
        <v>203.28049950046565</v>
      </c>
      <c r="T237" s="177">
        <f t="shared" si="357"/>
        <v>12</v>
      </c>
      <c r="U237" s="222">
        <f t="shared" si="358"/>
        <v>0.16699931647300068</v>
      </c>
      <c r="V237" s="222">
        <f t="shared" si="359"/>
        <v>0.53136146150500219</v>
      </c>
      <c r="W237" s="222">
        <f t="shared" si="360"/>
        <v>0.57256908505028803</v>
      </c>
      <c r="X237" s="202">
        <f t="shared" si="361"/>
        <v>350</v>
      </c>
      <c r="Y237" s="453">
        <f t="shared" si="362"/>
        <v>350</v>
      </c>
      <c r="AA237" s="222">
        <f t="shared" si="363"/>
        <v>0.4322200392927309</v>
      </c>
      <c r="AB237" s="178">
        <f t="shared" si="364"/>
        <v>1.4818972775750774</v>
      </c>
      <c r="AC237" s="178">
        <f t="shared" si="365"/>
        <v>0.22417699483945183</v>
      </c>
      <c r="AD237" s="178"/>
      <c r="AE237" s="178">
        <f t="shared" si="366"/>
        <v>0.99428571428571422</v>
      </c>
      <c r="AF237" s="562">
        <f t="shared" si="367"/>
        <v>291.31985731272306</v>
      </c>
      <c r="AG237" s="545">
        <f t="shared" si="368"/>
        <v>0.10091999999999998</v>
      </c>
      <c r="AI237" s="178">
        <f t="shared" si="369"/>
        <v>0.26457513110645908</v>
      </c>
      <c r="AJ237" s="178">
        <f t="shared" si="370"/>
        <v>0.28999999999999998</v>
      </c>
      <c r="AK237" s="178">
        <f t="shared" si="371"/>
        <v>1.1664684898929847</v>
      </c>
      <c r="AM237" s="562">
        <f t="shared" si="372"/>
        <v>84</v>
      </c>
      <c r="AN237" s="471">
        <f t="shared" si="373"/>
        <v>291.31985731272306</v>
      </c>
      <c r="AP237">
        <f t="shared" si="374"/>
        <v>84</v>
      </c>
      <c r="AQ237">
        <f t="shared" si="375"/>
        <v>291.31985731272306</v>
      </c>
      <c r="AS237" s="5">
        <f t="shared" si="334"/>
        <v>3.4326530612244883</v>
      </c>
      <c r="AT237" s="5">
        <f t="shared" si="376"/>
        <v>0.92272727272727262</v>
      </c>
      <c r="AU237" s="5">
        <f t="shared" si="380"/>
        <v>2.5099257884972159</v>
      </c>
      <c r="AV237" s="5"/>
      <c r="AW237" s="178">
        <f t="shared" si="381"/>
        <v>0.26880877742946718</v>
      </c>
      <c r="AX237" s="178"/>
      <c r="CD237" s="580">
        <f t="shared" si="377"/>
        <v>-50</v>
      </c>
      <c r="CE237">
        <f t="shared" si="378"/>
        <v>-50</v>
      </c>
    </row>
    <row r="238" spans="5:83" x14ac:dyDescent="0.2">
      <c r="E238" s="175">
        <v>22</v>
      </c>
      <c r="F238" s="222">
        <f t="shared" si="379"/>
        <v>8.8000000000000009E-2</v>
      </c>
      <c r="G238" s="222"/>
      <c r="H238" s="222">
        <f t="shared" si="348"/>
        <v>1.056</v>
      </c>
      <c r="I238" s="558">
        <f t="shared" si="349"/>
        <v>26.4</v>
      </c>
      <c r="J238" s="453">
        <f t="shared" si="350"/>
        <v>24.5</v>
      </c>
      <c r="K238" s="453">
        <f t="shared" si="351"/>
        <v>50.9</v>
      </c>
      <c r="L238" s="453"/>
      <c r="M238" s="222">
        <f t="shared" si="352"/>
        <v>0.48133595284872299</v>
      </c>
      <c r="N238" s="177">
        <f t="shared" si="353"/>
        <v>8.7521316306483303</v>
      </c>
      <c r="O238" s="177">
        <f t="shared" si="333"/>
        <v>1.056</v>
      </c>
      <c r="P238" s="222">
        <f t="shared" si="354"/>
        <v>0.72934430255402749</v>
      </c>
      <c r="Q238" s="222">
        <f t="shared" si="355"/>
        <v>12</v>
      </c>
      <c r="R238" s="222"/>
      <c r="S238" s="177">
        <f t="shared" si="356"/>
        <v>193.44203735499428</v>
      </c>
      <c r="T238" s="177">
        <f t="shared" si="357"/>
        <v>12</v>
      </c>
      <c r="U238" s="222">
        <f t="shared" si="358"/>
        <v>0.17495166487647693</v>
      </c>
      <c r="V238" s="222">
        <f t="shared" si="359"/>
        <v>0.55666438824333575</v>
      </c>
      <c r="W238" s="222">
        <f t="shared" si="360"/>
        <v>0.59983427957649227</v>
      </c>
      <c r="X238" s="202">
        <f t="shared" si="361"/>
        <v>350</v>
      </c>
      <c r="Y238" s="453">
        <f t="shared" si="362"/>
        <v>350</v>
      </c>
      <c r="AA238" s="222">
        <f t="shared" si="363"/>
        <v>0.4322200392927309</v>
      </c>
      <c r="AB238" s="178">
        <f t="shared" si="364"/>
        <v>1.4818972775750774</v>
      </c>
      <c r="AC238" s="178">
        <f t="shared" si="365"/>
        <v>0.22417699483945183</v>
      </c>
      <c r="AD238" s="178"/>
      <c r="AE238" s="178">
        <f t="shared" si="366"/>
        <v>0.99428571428571422</v>
      </c>
      <c r="AF238" s="562">
        <f t="shared" si="367"/>
        <v>305.19223147047177</v>
      </c>
      <c r="AG238" s="545">
        <f t="shared" si="368"/>
        <v>0.10091999999999998</v>
      </c>
      <c r="AI238" s="178">
        <f t="shared" si="369"/>
        <v>0.27080128015453203</v>
      </c>
      <c r="AJ238" s="178">
        <f t="shared" si="370"/>
        <v>0.28999999999999998</v>
      </c>
      <c r="AK238" s="178">
        <f t="shared" si="371"/>
        <v>1.1743955608402696</v>
      </c>
      <c r="AM238" s="562">
        <f t="shared" si="372"/>
        <v>88.000000000000014</v>
      </c>
      <c r="AN238" s="471">
        <f t="shared" si="373"/>
        <v>305.19223147047177</v>
      </c>
      <c r="AP238">
        <f t="shared" si="374"/>
        <v>88.000000000000014</v>
      </c>
      <c r="AQ238">
        <f t="shared" si="375"/>
        <v>305.19223147047177</v>
      </c>
      <c r="AS238" s="5">
        <f t="shared" si="334"/>
        <v>3.2766233766233754</v>
      </c>
      <c r="AT238" s="5">
        <f t="shared" si="376"/>
        <v>0.92272727272727262</v>
      </c>
      <c r="AU238" s="5">
        <f t="shared" si="380"/>
        <v>2.353896103896103</v>
      </c>
      <c r="AV238" s="5"/>
      <c r="AW238" s="178">
        <f t="shared" si="381"/>
        <v>0.2816091954022989</v>
      </c>
      <c r="AX238" s="178"/>
      <c r="CD238" s="580">
        <f t="shared" si="377"/>
        <v>-50</v>
      </c>
      <c r="CE238">
        <f t="shared" si="378"/>
        <v>-50</v>
      </c>
    </row>
    <row r="239" spans="5:83" x14ac:dyDescent="0.2">
      <c r="E239" s="175">
        <v>23</v>
      </c>
      <c r="F239" s="222">
        <f t="shared" si="379"/>
        <v>9.2000000000000012E-2</v>
      </c>
      <c r="G239" s="222"/>
      <c r="H239" s="222">
        <f t="shared" si="348"/>
        <v>1.1040000000000001</v>
      </c>
      <c r="I239" s="558">
        <f t="shared" si="349"/>
        <v>26.4</v>
      </c>
      <c r="J239" s="453">
        <f t="shared" si="350"/>
        <v>24.5</v>
      </c>
      <c r="K239" s="453">
        <f t="shared" si="351"/>
        <v>50.9</v>
      </c>
      <c r="L239" s="453"/>
      <c r="M239" s="222">
        <f t="shared" si="352"/>
        <v>0.48133595284872299</v>
      </c>
      <c r="N239" s="177">
        <f t="shared" si="353"/>
        <v>8.7521316306483303</v>
      </c>
      <c r="O239" s="177">
        <f t="shared" si="333"/>
        <v>1.1040000000000001</v>
      </c>
      <c r="P239" s="222">
        <f t="shared" si="354"/>
        <v>0.72934430255402749</v>
      </c>
      <c r="Q239" s="222">
        <f t="shared" si="355"/>
        <v>12</v>
      </c>
      <c r="R239" s="222"/>
      <c r="S239" s="177">
        <f t="shared" si="356"/>
        <v>184.45917027183592</v>
      </c>
      <c r="T239" s="177">
        <f t="shared" si="357"/>
        <v>12</v>
      </c>
      <c r="U239" s="222">
        <f t="shared" si="358"/>
        <v>0.18290401327995315</v>
      </c>
      <c r="V239" s="222">
        <f t="shared" si="359"/>
        <v>0.5819673149816692</v>
      </c>
      <c r="W239" s="222">
        <f t="shared" si="360"/>
        <v>0.62709947410269651</v>
      </c>
      <c r="X239" s="202">
        <f t="shared" si="361"/>
        <v>350</v>
      </c>
      <c r="Y239" s="453">
        <f t="shared" si="362"/>
        <v>350</v>
      </c>
      <c r="AA239" s="222">
        <f t="shared" si="363"/>
        <v>0.4322200392927309</v>
      </c>
      <c r="AB239" s="178">
        <f t="shared" si="364"/>
        <v>1.4818972775750774</v>
      </c>
      <c r="AC239" s="178">
        <f t="shared" si="365"/>
        <v>0.22417699483945183</v>
      </c>
      <c r="AD239" s="178"/>
      <c r="AE239" s="178">
        <f t="shared" si="366"/>
        <v>0.99428571428571422</v>
      </c>
      <c r="AF239" s="562">
        <f t="shared" si="367"/>
        <v>319.06460562822048</v>
      </c>
      <c r="AG239" s="545">
        <f t="shared" si="368"/>
        <v>0.10091999999999998</v>
      </c>
      <c r="AI239" s="178">
        <f t="shared" si="369"/>
        <v>0.27688746209726917</v>
      </c>
      <c r="AJ239" s="178">
        <f t="shared" si="370"/>
        <v>0.28999999999999998</v>
      </c>
      <c r="AK239" s="178">
        <f t="shared" si="371"/>
        <v>1.1823226317875546</v>
      </c>
      <c r="AM239" s="562">
        <f t="shared" si="372"/>
        <v>92.000000000000014</v>
      </c>
      <c r="AN239" s="471">
        <f t="shared" si="373"/>
        <v>319.06460562822048</v>
      </c>
      <c r="AP239">
        <f t="shared" si="374"/>
        <v>92.000000000000014</v>
      </c>
      <c r="AQ239">
        <f t="shared" si="375"/>
        <v>319.06460562822048</v>
      </c>
      <c r="AS239" s="5">
        <f t="shared" si="334"/>
        <v>3.1341614906832289</v>
      </c>
      <c r="AT239" s="5">
        <f t="shared" si="376"/>
        <v>0.92272727272727262</v>
      </c>
      <c r="AU239" s="5">
        <f t="shared" si="380"/>
        <v>2.2114342179559561</v>
      </c>
      <c r="AV239" s="5"/>
      <c r="AW239" s="178">
        <f t="shared" si="381"/>
        <v>0.29440961337513066</v>
      </c>
      <c r="AX239" s="178"/>
      <c r="CD239" s="580">
        <f t="shared" si="377"/>
        <v>-50</v>
      </c>
      <c r="CE239">
        <f t="shared" si="378"/>
        <v>-50</v>
      </c>
    </row>
    <row r="240" spans="5:83" x14ac:dyDescent="0.2">
      <c r="E240" s="175">
        <v>24</v>
      </c>
      <c r="F240" s="222">
        <f t="shared" si="379"/>
        <v>9.6000000000000002E-2</v>
      </c>
      <c r="G240" s="222"/>
      <c r="H240" s="222">
        <f t="shared" si="348"/>
        <v>1.1520000000000001</v>
      </c>
      <c r="I240" s="558">
        <f t="shared" si="349"/>
        <v>26.4</v>
      </c>
      <c r="J240" s="453">
        <f t="shared" si="350"/>
        <v>24.5</v>
      </c>
      <c r="K240" s="453">
        <f t="shared" si="351"/>
        <v>50.9</v>
      </c>
      <c r="L240" s="453"/>
      <c r="M240" s="222">
        <f t="shared" si="352"/>
        <v>0.48133595284872299</v>
      </c>
      <c r="N240" s="177">
        <f t="shared" si="353"/>
        <v>8.7521316306483303</v>
      </c>
      <c r="O240" s="177">
        <f t="shared" si="333"/>
        <v>1.1520000000000001</v>
      </c>
      <c r="P240" s="222">
        <f t="shared" si="354"/>
        <v>0.72934430255402749</v>
      </c>
      <c r="Q240" s="222">
        <f t="shared" si="355"/>
        <v>12</v>
      </c>
      <c r="R240" s="222"/>
      <c r="S240" s="177">
        <f t="shared" si="356"/>
        <v>176.22494953785869</v>
      </c>
      <c r="T240" s="177">
        <f t="shared" si="357"/>
        <v>12</v>
      </c>
      <c r="U240" s="222">
        <f t="shared" si="358"/>
        <v>0.19085636168342937</v>
      </c>
      <c r="V240" s="222">
        <f t="shared" si="359"/>
        <v>0.60727024172000255</v>
      </c>
      <c r="W240" s="222">
        <f t="shared" si="360"/>
        <v>0.65436466862890053</v>
      </c>
      <c r="X240" s="202">
        <f t="shared" si="361"/>
        <v>350</v>
      </c>
      <c r="Y240" s="453">
        <f t="shared" si="362"/>
        <v>350</v>
      </c>
      <c r="AA240" s="222">
        <f t="shared" si="363"/>
        <v>0.4322200392927309</v>
      </c>
      <c r="AB240" s="178">
        <f t="shared" si="364"/>
        <v>1.4818972775750774</v>
      </c>
      <c r="AC240" s="178">
        <f t="shared" si="365"/>
        <v>0.22417699483945183</v>
      </c>
      <c r="AD240" s="178"/>
      <c r="AE240" s="178">
        <f t="shared" si="366"/>
        <v>0.99428571428571422</v>
      </c>
      <c r="AF240" s="562">
        <f t="shared" si="367"/>
        <v>332.93697978596919</v>
      </c>
      <c r="AG240" s="545">
        <f t="shared" si="368"/>
        <v>0.10091999999999998</v>
      </c>
      <c r="AI240" s="178">
        <f t="shared" si="369"/>
        <v>0.28284271247461901</v>
      </c>
      <c r="AJ240" s="178">
        <f t="shared" si="370"/>
        <v>0.28999999999999998</v>
      </c>
      <c r="AK240" s="178">
        <f t="shared" si="371"/>
        <v>1.1902497027348395</v>
      </c>
      <c r="AM240" s="562">
        <f t="shared" si="372"/>
        <v>96</v>
      </c>
      <c r="AN240" s="471">
        <f t="shared" si="373"/>
        <v>332.93697978596919</v>
      </c>
      <c r="AP240">
        <f t="shared" si="374"/>
        <v>96</v>
      </c>
      <c r="AQ240">
        <f t="shared" si="375"/>
        <v>332.93697978596919</v>
      </c>
      <c r="AS240" s="5">
        <f t="shared" si="334"/>
        <v>3.0035714285714277</v>
      </c>
      <c r="AT240" s="5">
        <f t="shared" si="376"/>
        <v>0.92272727272727262</v>
      </c>
      <c r="AU240" s="5">
        <f t="shared" si="380"/>
        <v>2.0808441558441553</v>
      </c>
      <c r="AV240" s="5"/>
      <c r="AW240" s="178">
        <f t="shared" si="381"/>
        <v>0.30721003134796243</v>
      </c>
      <c r="AX240" s="178"/>
      <c r="CD240" s="580">
        <f t="shared" si="377"/>
        <v>-50</v>
      </c>
      <c r="CE240">
        <f t="shared" si="378"/>
        <v>-50</v>
      </c>
    </row>
    <row r="241" spans="5:83" x14ac:dyDescent="0.2">
      <c r="E241" s="175">
        <v>25</v>
      </c>
      <c r="F241" s="222">
        <f t="shared" si="379"/>
        <v>0.1</v>
      </c>
      <c r="G241" s="222"/>
      <c r="H241" s="222">
        <f t="shared" si="348"/>
        <v>1.2000000000000002</v>
      </c>
      <c r="I241" s="558">
        <f t="shared" si="349"/>
        <v>26.4</v>
      </c>
      <c r="J241" s="453">
        <f t="shared" si="350"/>
        <v>24.5</v>
      </c>
      <c r="K241" s="453">
        <f t="shared" si="351"/>
        <v>50.9</v>
      </c>
      <c r="L241" s="453"/>
      <c r="M241" s="222">
        <f t="shared" si="352"/>
        <v>0.48133595284872299</v>
      </c>
      <c r="N241" s="177">
        <f t="shared" si="353"/>
        <v>8.7521316306483303</v>
      </c>
      <c r="O241" s="177">
        <f t="shared" si="333"/>
        <v>1.2000000000000002</v>
      </c>
      <c r="P241" s="222">
        <f t="shared" si="354"/>
        <v>0.72934430255402749</v>
      </c>
      <c r="Q241" s="222">
        <f t="shared" si="355"/>
        <v>12</v>
      </c>
      <c r="R241" s="222"/>
      <c r="S241" s="177">
        <f t="shared" si="356"/>
        <v>168.64953824169294</v>
      </c>
      <c r="T241" s="177">
        <f t="shared" si="357"/>
        <v>12</v>
      </c>
      <c r="U241" s="222">
        <f t="shared" si="358"/>
        <v>0.19880871008690562</v>
      </c>
      <c r="V241" s="222">
        <f t="shared" si="359"/>
        <v>0.632573168458336</v>
      </c>
      <c r="W241" s="222">
        <f t="shared" si="360"/>
        <v>0.68162986315510499</v>
      </c>
      <c r="X241" s="202">
        <f t="shared" si="361"/>
        <v>350</v>
      </c>
      <c r="Y241" s="453">
        <f t="shared" si="362"/>
        <v>350</v>
      </c>
      <c r="AA241" s="222">
        <f t="shared" si="363"/>
        <v>0.4322200392927309</v>
      </c>
      <c r="AB241" s="178">
        <f t="shared" si="364"/>
        <v>1.4818972775750774</v>
      </c>
      <c r="AC241" s="178">
        <f t="shared" si="365"/>
        <v>0.22417699483945183</v>
      </c>
      <c r="AD241" s="178"/>
      <c r="AE241" s="178">
        <f t="shared" si="366"/>
        <v>0.99428571428571422</v>
      </c>
      <c r="AF241" s="562">
        <f t="shared" si="367"/>
        <v>346.80935394371789</v>
      </c>
      <c r="AG241" s="545">
        <f t="shared" si="368"/>
        <v>0.10091999999999998</v>
      </c>
      <c r="AI241" s="178">
        <f t="shared" si="369"/>
        <v>0.28867513459481292</v>
      </c>
      <c r="AJ241" s="178">
        <f t="shared" si="370"/>
        <v>0.28999999999999998</v>
      </c>
      <c r="AK241" s="178">
        <f t="shared" si="371"/>
        <v>1.1981767736821245</v>
      </c>
      <c r="AM241" s="562">
        <f t="shared" si="372"/>
        <v>100</v>
      </c>
      <c r="AN241" s="471">
        <f t="shared" si="373"/>
        <v>346.80935394371789</v>
      </c>
      <c r="AP241">
        <f t="shared" si="374"/>
        <v>100</v>
      </c>
      <c r="AQ241">
        <f t="shared" si="375"/>
        <v>346.80935394371789</v>
      </c>
      <c r="AS241" s="5">
        <f t="shared" si="334"/>
        <v>2.8834285714285706</v>
      </c>
      <c r="AT241" s="5">
        <f t="shared" si="376"/>
        <v>0.92272727272727262</v>
      </c>
      <c r="AU241" s="5">
        <f t="shared" si="380"/>
        <v>1.9607012987012979</v>
      </c>
      <c r="AV241" s="5"/>
      <c r="AW241" s="178">
        <f t="shared" si="381"/>
        <v>0.3200104493207942</v>
      </c>
      <c r="AX241" s="178"/>
      <c r="CD241" s="580">
        <f t="shared" si="377"/>
        <v>-50</v>
      </c>
      <c r="CE241">
        <f t="shared" si="378"/>
        <v>-50</v>
      </c>
    </row>
    <row r="242" spans="5:83" x14ac:dyDescent="0.2">
      <c r="E242" s="175">
        <v>26</v>
      </c>
      <c r="F242" s="222">
        <f t="shared" si="379"/>
        <v>0.10400000000000001</v>
      </c>
      <c r="G242" s="222"/>
      <c r="H242" s="222">
        <f t="shared" si="348"/>
        <v>1.2480000000000002</v>
      </c>
      <c r="I242" s="558">
        <f t="shared" si="349"/>
        <v>26.4</v>
      </c>
      <c r="J242" s="453">
        <f t="shared" si="350"/>
        <v>24.5</v>
      </c>
      <c r="K242" s="453">
        <f t="shared" si="351"/>
        <v>50.9</v>
      </c>
      <c r="L242" s="453"/>
      <c r="M242" s="222">
        <f t="shared" si="352"/>
        <v>0.48133595284872299</v>
      </c>
      <c r="N242" s="177">
        <f t="shared" si="353"/>
        <v>8.7521316306483303</v>
      </c>
      <c r="O242" s="177">
        <f t="shared" si="333"/>
        <v>1.2480000000000002</v>
      </c>
      <c r="P242" s="222">
        <f t="shared" si="354"/>
        <v>0.72934430255402749</v>
      </c>
      <c r="Q242" s="222">
        <f t="shared" si="355"/>
        <v>12</v>
      </c>
      <c r="R242" s="222"/>
      <c r="S242" s="177">
        <f t="shared" si="356"/>
        <v>161.65692054273009</v>
      </c>
      <c r="T242" s="177">
        <f t="shared" si="357"/>
        <v>12</v>
      </c>
      <c r="U242" s="222">
        <f t="shared" si="358"/>
        <v>0.20676105849038184</v>
      </c>
      <c r="V242" s="222">
        <f t="shared" si="359"/>
        <v>0.65787609519666956</v>
      </c>
      <c r="W242" s="222">
        <f t="shared" si="360"/>
        <v>0.70889505768130923</v>
      </c>
      <c r="X242" s="202">
        <f t="shared" si="361"/>
        <v>350</v>
      </c>
      <c r="Y242" s="453">
        <f t="shared" si="362"/>
        <v>350</v>
      </c>
      <c r="AA242" s="222">
        <f t="shared" si="363"/>
        <v>0.4322200392927309</v>
      </c>
      <c r="AB242" s="178">
        <f t="shared" si="364"/>
        <v>1.4818972775750774</v>
      </c>
      <c r="AC242" s="178">
        <f t="shared" si="365"/>
        <v>0.22417699483945183</v>
      </c>
      <c r="AD242" s="178"/>
      <c r="AE242" s="178">
        <f t="shared" si="366"/>
        <v>0.99428571428571422</v>
      </c>
      <c r="AF242" s="562">
        <f t="shared" si="367"/>
        <v>360.6817281014666</v>
      </c>
      <c r="AG242" s="545">
        <f t="shared" si="368"/>
        <v>0.10091999999999998</v>
      </c>
      <c r="AI242" s="178">
        <f t="shared" si="369"/>
        <v>0.29439202887759491</v>
      </c>
      <c r="AJ242" s="178">
        <f t="shared" si="370"/>
        <v>0.29439202887759491</v>
      </c>
      <c r="AK242" s="178">
        <f t="shared" si="371"/>
        <v>1.2032533547241444</v>
      </c>
      <c r="AM242" s="562">
        <f t="shared" si="372"/>
        <v>104.00000000000001</v>
      </c>
      <c r="AN242" s="471">
        <f t="shared" si="373"/>
        <v>350</v>
      </c>
      <c r="AP242">
        <f t="shared" si="374"/>
        <v>104.00000000000001</v>
      </c>
      <c r="AQ242">
        <f t="shared" si="375"/>
        <v>350</v>
      </c>
      <c r="AS242" s="5">
        <f t="shared" si="334"/>
        <v>2.8571428571428572</v>
      </c>
      <c r="AT242" s="5">
        <f t="shared" si="376"/>
        <v>0.93670191006507464</v>
      </c>
      <c r="AU242" s="5">
        <f t="shared" si="380"/>
        <v>1.9204409470777826</v>
      </c>
      <c r="AV242" s="5"/>
      <c r="AW242" s="178">
        <f t="shared" si="381"/>
        <v>0.32784566852277613</v>
      </c>
      <c r="AX242" s="178"/>
      <c r="CD242" s="580">
        <f t="shared" si="377"/>
        <v>-50</v>
      </c>
      <c r="CE242">
        <f t="shared" si="378"/>
        <v>-50</v>
      </c>
    </row>
    <row r="243" spans="5:83" x14ac:dyDescent="0.2">
      <c r="E243" s="175">
        <v>27</v>
      </c>
      <c r="F243" s="222">
        <f t="shared" si="379"/>
        <v>0.10800000000000001</v>
      </c>
      <c r="G243" s="222"/>
      <c r="H243" s="222">
        <f t="shared" si="348"/>
        <v>1.2960000000000003</v>
      </c>
      <c r="I243" s="558">
        <f t="shared" si="349"/>
        <v>26.4</v>
      </c>
      <c r="J243" s="453">
        <f t="shared" si="350"/>
        <v>24.5</v>
      </c>
      <c r="K243" s="453">
        <f t="shared" si="351"/>
        <v>50.9</v>
      </c>
      <c r="L243" s="453"/>
      <c r="M243" s="222">
        <f t="shared" si="352"/>
        <v>0.48133595284872299</v>
      </c>
      <c r="N243" s="177">
        <f t="shared" si="353"/>
        <v>8.7521316306483303</v>
      </c>
      <c r="O243" s="177">
        <f t="shared" si="333"/>
        <v>1.2960000000000003</v>
      </c>
      <c r="P243" s="222">
        <f t="shared" si="354"/>
        <v>0.72934430255402749</v>
      </c>
      <c r="Q243" s="222">
        <f t="shared" si="355"/>
        <v>12</v>
      </c>
      <c r="R243" s="222"/>
      <c r="S243" s="177">
        <f t="shared" si="356"/>
        <v>155.18234221367959</v>
      </c>
      <c r="T243" s="177">
        <f t="shared" si="357"/>
        <v>12</v>
      </c>
      <c r="U243" s="222">
        <f t="shared" si="358"/>
        <v>0.21471340689385807</v>
      </c>
      <c r="V243" s="222">
        <f t="shared" si="359"/>
        <v>0.68317902193500291</v>
      </c>
      <c r="W243" s="222">
        <f t="shared" si="360"/>
        <v>0.73616025220751324</v>
      </c>
      <c r="X243" s="202">
        <f t="shared" si="361"/>
        <v>350</v>
      </c>
      <c r="Y243" s="453">
        <f t="shared" si="362"/>
        <v>350</v>
      </c>
      <c r="AA243" s="222">
        <f t="shared" si="363"/>
        <v>0.4322200392927309</v>
      </c>
      <c r="AB243" s="178">
        <f t="shared" si="364"/>
        <v>1.4818972775750774</v>
      </c>
      <c r="AC243" s="178">
        <f t="shared" si="365"/>
        <v>0.22417699483945183</v>
      </c>
      <c r="AD243" s="178"/>
      <c r="AE243" s="178">
        <f t="shared" si="366"/>
        <v>0.99428571428571422</v>
      </c>
      <c r="AF243" s="562">
        <f t="shared" si="367"/>
        <v>374.55410225921537</v>
      </c>
      <c r="AG243" s="545">
        <f t="shared" si="368"/>
        <v>0.10091999999999998</v>
      </c>
      <c r="AI243" s="178">
        <f t="shared" si="369"/>
        <v>0.30000000000000004</v>
      </c>
      <c r="AJ243" s="178">
        <f t="shared" si="370"/>
        <v>0.30000000000000004</v>
      </c>
      <c r="AK243" s="178">
        <f t="shared" si="371"/>
        <v>1.2074074074074075</v>
      </c>
      <c r="AM243" s="562">
        <f t="shared" si="372"/>
        <v>108.00000000000001</v>
      </c>
      <c r="AN243" s="471">
        <f t="shared" si="373"/>
        <v>350</v>
      </c>
      <c r="AP243">
        <f t="shared" si="374"/>
        <v>108.00000000000001</v>
      </c>
      <c r="AQ243">
        <f t="shared" si="375"/>
        <v>350</v>
      </c>
      <c r="AS243" s="5">
        <f t="shared" si="334"/>
        <v>2.8571428571428572</v>
      </c>
      <c r="AT243" s="5">
        <f t="shared" si="376"/>
        <v>0.95454545454545481</v>
      </c>
      <c r="AU243" s="5">
        <f t="shared" si="380"/>
        <v>1.9025974025974024</v>
      </c>
      <c r="AV243" s="5"/>
      <c r="AW243" s="178">
        <f t="shared" si="381"/>
        <v>0.33409090909090916</v>
      </c>
      <c r="AX243" s="178"/>
      <c r="CD243" s="580">
        <f t="shared" si="377"/>
        <v>-50</v>
      </c>
      <c r="CE243">
        <f t="shared" si="378"/>
        <v>-50</v>
      </c>
    </row>
    <row r="244" spans="5:83" x14ac:dyDescent="0.2">
      <c r="E244" s="175">
        <v>28</v>
      </c>
      <c r="F244" s="222">
        <f t="shared" si="379"/>
        <v>0.11200000000000002</v>
      </c>
      <c r="G244" s="222"/>
      <c r="H244" s="222">
        <f t="shared" si="348"/>
        <v>1.3440000000000003</v>
      </c>
      <c r="I244" s="558">
        <f t="shared" si="349"/>
        <v>26.4</v>
      </c>
      <c r="J244" s="453">
        <f t="shared" si="350"/>
        <v>24.5</v>
      </c>
      <c r="K244" s="453">
        <f t="shared" si="351"/>
        <v>50.9</v>
      </c>
      <c r="L244" s="453"/>
      <c r="M244" s="222">
        <f t="shared" si="352"/>
        <v>0.48133595284872299</v>
      </c>
      <c r="N244" s="177">
        <f t="shared" si="353"/>
        <v>8.7521316306483303</v>
      </c>
      <c r="O244" s="177">
        <f t="shared" si="333"/>
        <v>1.3440000000000003</v>
      </c>
      <c r="P244" s="222">
        <f t="shared" si="354"/>
        <v>0.72934430255402749</v>
      </c>
      <c r="Q244" s="222">
        <f t="shared" si="355"/>
        <v>12</v>
      </c>
      <c r="R244" s="222"/>
      <c r="S244" s="177">
        <f t="shared" si="356"/>
        <v>149.17029963829341</v>
      </c>
      <c r="T244" s="177">
        <f t="shared" si="357"/>
        <v>12</v>
      </c>
      <c r="U244" s="222">
        <f t="shared" si="358"/>
        <v>0.22266575529733429</v>
      </c>
      <c r="V244" s="222">
        <f t="shared" si="359"/>
        <v>0.70848194867333636</v>
      </c>
      <c r="W244" s="222">
        <f t="shared" si="360"/>
        <v>0.76342544673371748</v>
      </c>
      <c r="X244" s="202">
        <f t="shared" si="361"/>
        <v>350</v>
      </c>
      <c r="Y244" s="453">
        <f t="shared" si="362"/>
        <v>350</v>
      </c>
      <c r="AA244" s="222">
        <f t="shared" si="363"/>
        <v>0.4322200392927309</v>
      </c>
      <c r="AB244" s="178">
        <f t="shared" si="364"/>
        <v>1.4818972775750774</v>
      </c>
      <c r="AC244" s="178">
        <f t="shared" si="365"/>
        <v>0.22417699483945183</v>
      </c>
      <c r="AD244" s="178"/>
      <c r="AE244" s="178">
        <f t="shared" si="366"/>
        <v>0.99428571428571422</v>
      </c>
      <c r="AF244" s="562">
        <f t="shared" si="367"/>
        <v>388.42647641696408</v>
      </c>
      <c r="AG244" s="545">
        <f t="shared" si="368"/>
        <v>0.10091999999999998</v>
      </c>
      <c r="AI244" s="178">
        <f t="shared" si="369"/>
        <v>0.30550504633038938</v>
      </c>
      <c r="AJ244" s="178">
        <f t="shared" si="370"/>
        <v>0.30550504633038938</v>
      </c>
      <c r="AK244" s="178">
        <f t="shared" si="371"/>
        <v>1.211485219503992</v>
      </c>
      <c r="AM244" s="562">
        <f t="shared" si="372"/>
        <v>112.00000000000001</v>
      </c>
      <c r="AN244" s="471">
        <f t="shared" si="373"/>
        <v>350</v>
      </c>
      <c r="AP244">
        <f t="shared" si="374"/>
        <v>112.00000000000001</v>
      </c>
      <c r="AQ244">
        <f t="shared" si="375"/>
        <v>350</v>
      </c>
      <c r="AS244" s="5">
        <f t="shared" si="334"/>
        <v>2.8571428571428572</v>
      </c>
      <c r="AT244" s="5">
        <f t="shared" si="376"/>
        <v>0.97206151105123895</v>
      </c>
      <c r="AU244" s="5">
        <f t="shared" si="380"/>
        <v>1.8850813460916183</v>
      </c>
      <c r="AV244" s="5"/>
      <c r="AW244" s="178">
        <f t="shared" si="381"/>
        <v>0.34022152886793361</v>
      </c>
      <c r="AX244" s="178"/>
      <c r="CD244" s="580">
        <f t="shared" si="377"/>
        <v>-50</v>
      </c>
      <c r="CE244">
        <f t="shared" si="378"/>
        <v>-50</v>
      </c>
    </row>
    <row r="245" spans="5:83" x14ac:dyDescent="0.2">
      <c r="E245" s="175">
        <v>29</v>
      </c>
      <c r="F245" s="222">
        <f t="shared" si="379"/>
        <v>0.11599999999999999</v>
      </c>
      <c r="G245" s="222"/>
      <c r="H245" s="222">
        <f t="shared" si="348"/>
        <v>1.3919999999999999</v>
      </c>
      <c r="I245" s="558">
        <f t="shared" si="349"/>
        <v>26.4</v>
      </c>
      <c r="J245" s="453">
        <f t="shared" si="350"/>
        <v>24.5</v>
      </c>
      <c r="K245" s="453">
        <f t="shared" si="351"/>
        <v>50.9</v>
      </c>
      <c r="L245" s="453"/>
      <c r="M245" s="222">
        <f t="shared" si="352"/>
        <v>0.48133595284872299</v>
      </c>
      <c r="N245" s="177">
        <f t="shared" si="353"/>
        <v>8.7521316306483303</v>
      </c>
      <c r="O245" s="177">
        <f t="shared" si="333"/>
        <v>1.3919999999999999</v>
      </c>
      <c r="P245" s="222">
        <f t="shared" si="354"/>
        <v>0.72934430255402749</v>
      </c>
      <c r="Q245" s="222">
        <f t="shared" si="355"/>
        <v>12</v>
      </c>
      <c r="R245" s="222"/>
      <c r="S245" s="177">
        <f t="shared" si="356"/>
        <v>143.57294487852954</v>
      </c>
      <c r="T245" s="177">
        <f t="shared" si="357"/>
        <v>12</v>
      </c>
      <c r="U245" s="222">
        <f t="shared" si="358"/>
        <v>0.23061810370081046</v>
      </c>
      <c r="V245" s="222">
        <f t="shared" si="359"/>
        <v>0.73378487541166959</v>
      </c>
      <c r="W245" s="222">
        <f t="shared" si="360"/>
        <v>0.79069064125992139</v>
      </c>
      <c r="X245" s="202">
        <f t="shared" si="361"/>
        <v>350</v>
      </c>
      <c r="Y245" s="453">
        <f t="shared" si="362"/>
        <v>350</v>
      </c>
      <c r="AA245" s="222">
        <f t="shared" si="363"/>
        <v>0.4322200392927309</v>
      </c>
      <c r="AB245" s="178">
        <f t="shared" si="364"/>
        <v>1.4818972775750774</v>
      </c>
      <c r="AC245" s="178">
        <f t="shared" si="365"/>
        <v>0.22417699483945183</v>
      </c>
      <c r="AD245" s="178"/>
      <c r="AE245" s="178">
        <f t="shared" si="366"/>
        <v>0.99428571428571422</v>
      </c>
      <c r="AF245" s="562">
        <f t="shared" si="367"/>
        <v>402.29885057471273</v>
      </c>
      <c r="AG245" s="545">
        <f t="shared" si="368"/>
        <v>0.10091999999999998</v>
      </c>
      <c r="AI245" s="178">
        <f t="shared" si="369"/>
        <v>0.31091263510296052</v>
      </c>
      <c r="AJ245" s="178">
        <f t="shared" si="370"/>
        <v>0.31091263510296052</v>
      </c>
      <c r="AK245" s="178">
        <f t="shared" si="371"/>
        <v>1.2154908408170078</v>
      </c>
      <c r="AM245" s="562">
        <f t="shared" si="372"/>
        <v>115.99999999999999</v>
      </c>
      <c r="AN245" s="471">
        <f t="shared" si="373"/>
        <v>350</v>
      </c>
      <c r="AP245">
        <f t="shared" si="374"/>
        <v>115.99999999999999</v>
      </c>
      <c r="AQ245">
        <f t="shared" si="375"/>
        <v>350</v>
      </c>
      <c r="AS245" s="5">
        <f t="shared" si="334"/>
        <v>2.8571428571428572</v>
      </c>
      <c r="AT245" s="5">
        <f t="shared" si="376"/>
        <v>0.98926747532760173</v>
      </c>
      <c r="AU245" s="5">
        <f t="shared" si="380"/>
        <v>1.8678753818152556</v>
      </c>
      <c r="AV245" s="5"/>
      <c r="AW245" s="178">
        <f t="shared" si="381"/>
        <v>0.34624361636466061</v>
      </c>
      <c r="AX245" s="178"/>
      <c r="CD245" s="580">
        <f t="shared" si="377"/>
        <v>-50</v>
      </c>
      <c r="CE245">
        <f t="shared" si="378"/>
        <v>-50</v>
      </c>
    </row>
    <row r="246" spans="5:83" x14ac:dyDescent="0.2">
      <c r="E246" s="175">
        <v>30</v>
      </c>
      <c r="F246" s="222">
        <f t="shared" si="379"/>
        <v>0.12</v>
      </c>
      <c r="G246" s="222"/>
      <c r="H246" s="222">
        <f t="shared" si="348"/>
        <v>1.44</v>
      </c>
      <c r="I246" s="558">
        <f t="shared" si="349"/>
        <v>26.4</v>
      </c>
      <c r="J246" s="453">
        <f t="shared" si="350"/>
        <v>24.5</v>
      </c>
      <c r="K246" s="453">
        <f t="shared" si="351"/>
        <v>50.9</v>
      </c>
      <c r="L246" s="453"/>
      <c r="M246" s="222">
        <f t="shared" si="352"/>
        <v>0.48133595284872299</v>
      </c>
      <c r="N246" s="177">
        <f t="shared" si="353"/>
        <v>8.7521316306483303</v>
      </c>
      <c r="O246" s="177">
        <f t="shared" si="333"/>
        <v>1.44</v>
      </c>
      <c r="P246" s="222">
        <f t="shared" si="354"/>
        <v>0.72934430255402749</v>
      </c>
      <c r="Q246" s="222">
        <f t="shared" si="355"/>
        <v>12</v>
      </c>
      <c r="R246" s="222"/>
      <c r="S246" s="177">
        <f t="shared" si="356"/>
        <v>138.34880972828316</v>
      </c>
      <c r="T246" s="177">
        <f t="shared" si="357"/>
        <v>12</v>
      </c>
      <c r="U246" s="222">
        <f t="shared" si="358"/>
        <v>0.23857045210428668</v>
      </c>
      <c r="V246" s="222">
        <f t="shared" si="359"/>
        <v>0.75908780215000304</v>
      </c>
      <c r="W246" s="222">
        <f t="shared" si="360"/>
        <v>0.81795583578612574</v>
      </c>
      <c r="X246" s="202">
        <f t="shared" si="361"/>
        <v>350</v>
      </c>
      <c r="Y246" s="453">
        <f t="shared" si="362"/>
        <v>350</v>
      </c>
      <c r="AA246" s="222">
        <f t="shared" si="363"/>
        <v>0.4322200392927309</v>
      </c>
      <c r="AB246" s="178">
        <f t="shared" si="364"/>
        <v>1.4818972775750774</v>
      </c>
      <c r="AC246" s="178">
        <f t="shared" si="365"/>
        <v>0.22417699483945183</v>
      </c>
      <c r="AD246" s="178"/>
      <c r="AE246" s="178">
        <f t="shared" si="366"/>
        <v>0.99428571428571422</v>
      </c>
      <c r="AF246" s="562">
        <f t="shared" si="367"/>
        <v>416.17122473246144</v>
      </c>
      <c r="AG246" s="545">
        <f t="shared" si="368"/>
        <v>0.10091999999999998</v>
      </c>
      <c r="AI246" s="178">
        <f t="shared" si="369"/>
        <v>0.31622776601683794</v>
      </c>
      <c r="AJ246" s="178">
        <f t="shared" si="370"/>
        <v>0.31622776601683794</v>
      </c>
      <c r="AK246" s="178">
        <f t="shared" si="371"/>
        <v>1.2194279748272874</v>
      </c>
      <c r="AM246" s="562">
        <f t="shared" si="372"/>
        <v>120</v>
      </c>
      <c r="AN246" s="471">
        <f t="shared" si="373"/>
        <v>350</v>
      </c>
      <c r="AP246">
        <f t="shared" si="374"/>
        <v>120</v>
      </c>
      <c r="AQ246">
        <f t="shared" si="375"/>
        <v>350</v>
      </c>
      <c r="AS246" s="5">
        <f t="shared" si="334"/>
        <v>2.8571428571428572</v>
      </c>
      <c r="AT246" s="5">
        <f t="shared" si="376"/>
        <v>1.0061792555081206</v>
      </c>
      <c r="AU246" s="5">
        <f t="shared" si="380"/>
        <v>1.8509636016347366</v>
      </c>
      <c r="AV246" s="5"/>
      <c r="AW246" s="178">
        <f t="shared" si="381"/>
        <v>0.35216273942784221</v>
      </c>
      <c r="AX246" s="178"/>
      <c r="CD246" s="580">
        <f t="shared" si="377"/>
        <v>-50</v>
      </c>
      <c r="CE246">
        <f t="shared" si="378"/>
        <v>-50</v>
      </c>
    </row>
    <row r="247" spans="5:83" x14ac:dyDescent="0.2">
      <c r="E247" s="175">
        <v>31</v>
      </c>
      <c r="F247" s="222">
        <f t="shared" si="379"/>
        <v>0.124</v>
      </c>
      <c r="G247" s="222"/>
      <c r="H247" s="222">
        <f t="shared" si="348"/>
        <v>1.488</v>
      </c>
      <c r="I247" s="558">
        <f t="shared" si="349"/>
        <v>26.4</v>
      </c>
      <c r="J247" s="453">
        <f t="shared" si="350"/>
        <v>24.5</v>
      </c>
      <c r="K247" s="453">
        <f t="shared" si="351"/>
        <v>50.9</v>
      </c>
      <c r="L247" s="453"/>
      <c r="M247" s="222">
        <f t="shared" si="352"/>
        <v>0.48133595284872299</v>
      </c>
      <c r="N247" s="177">
        <f t="shared" si="353"/>
        <v>8.7521316306483303</v>
      </c>
      <c r="O247" s="177">
        <f t="shared" si="333"/>
        <v>1.488</v>
      </c>
      <c r="P247" s="222">
        <f t="shared" si="354"/>
        <v>0.72934430255402749</v>
      </c>
      <c r="Q247" s="222">
        <f t="shared" si="355"/>
        <v>12</v>
      </c>
      <c r="R247" s="222"/>
      <c r="S247" s="177">
        <f t="shared" si="356"/>
        <v>133.46177672446299</v>
      </c>
      <c r="T247" s="177">
        <f t="shared" si="357"/>
        <v>12</v>
      </c>
      <c r="U247" s="222">
        <f t="shared" si="358"/>
        <v>0.24652280050776293</v>
      </c>
      <c r="V247" s="222">
        <f t="shared" si="359"/>
        <v>0.78439072888833661</v>
      </c>
      <c r="W247" s="222">
        <f t="shared" si="360"/>
        <v>0.84522103031233009</v>
      </c>
      <c r="X247" s="202">
        <f t="shared" si="361"/>
        <v>350</v>
      </c>
      <c r="Y247" s="453">
        <f t="shared" si="362"/>
        <v>350</v>
      </c>
      <c r="AA247" s="222">
        <f t="shared" si="363"/>
        <v>0.4322200392927309</v>
      </c>
      <c r="AB247" s="178">
        <f t="shared" si="364"/>
        <v>1.4818972775750774</v>
      </c>
      <c r="AC247" s="178">
        <f t="shared" si="365"/>
        <v>0.22417699483945183</v>
      </c>
      <c r="AD247" s="178"/>
      <c r="AE247" s="178">
        <f t="shared" si="366"/>
        <v>0.99428571428571422</v>
      </c>
      <c r="AF247" s="562">
        <f t="shared" si="367"/>
        <v>430.04359889021015</v>
      </c>
      <c r="AG247" s="545">
        <f t="shared" si="368"/>
        <v>0.10091999999999998</v>
      </c>
      <c r="AI247" s="178">
        <f t="shared" si="369"/>
        <v>0.32145502536643183</v>
      </c>
      <c r="AJ247" s="178">
        <f t="shared" si="370"/>
        <v>0.32145502536643183</v>
      </c>
      <c r="AK247" s="178">
        <f t="shared" si="371"/>
        <v>1.2233000187899494</v>
      </c>
      <c r="AM247" s="562">
        <f t="shared" si="372"/>
        <v>124</v>
      </c>
      <c r="AN247" s="471">
        <f t="shared" si="373"/>
        <v>350</v>
      </c>
      <c r="AP247">
        <f t="shared" si="374"/>
        <v>124</v>
      </c>
      <c r="AQ247">
        <f t="shared" si="375"/>
        <v>350</v>
      </c>
      <c r="AS247" s="5">
        <f t="shared" si="334"/>
        <v>2.8571428571428572</v>
      </c>
      <c r="AT247" s="5">
        <f t="shared" si="376"/>
        <v>1.0228114443477376</v>
      </c>
      <c r="AU247" s="5">
        <f t="shared" si="380"/>
        <v>1.8343314127951196</v>
      </c>
      <c r="AV247" s="5"/>
      <c r="AW247" s="178">
        <f t="shared" si="381"/>
        <v>0.35798400552170817</v>
      </c>
      <c r="AX247" s="178"/>
      <c r="CD247" s="580">
        <f t="shared" si="377"/>
        <v>-50</v>
      </c>
      <c r="CE247">
        <f t="shared" si="378"/>
        <v>-50</v>
      </c>
    </row>
    <row r="248" spans="5:83" x14ac:dyDescent="0.2">
      <c r="E248" s="175">
        <v>32</v>
      </c>
      <c r="F248" s="222">
        <f t="shared" si="379"/>
        <v>0.128</v>
      </c>
      <c r="G248" s="222"/>
      <c r="H248" s="222">
        <f t="shared" ref="H248:H279" si="382">F248*Vout</f>
        <v>1.536</v>
      </c>
      <c r="I248" s="558">
        <f t="shared" ref="I248:I279" si="383">VIN_max</f>
        <v>26.4</v>
      </c>
      <c r="J248" s="453">
        <f t="shared" ref="J248:J279" si="384">(T248+Vfwd1)*Nps</f>
        <v>24.5</v>
      </c>
      <c r="K248" s="453">
        <f t="shared" ref="K248:K279" si="385">(Vout+Vfwd1)*Nps+I248</f>
        <v>50.9</v>
      </c>
      <c r="L248" s="453"/>
      <c r="M248" s="222">
        <f t="shared" ref="M248:M279" si="386">(Vout+Vfwd1)*Nps/((Vout+Vfwd1)*Nps+I248)</f>
        <v>0.48133595284872299</v>
      </c>
      <c r="N248" s="177">
        <f t="shared" ref="N248:N279" si="387">M248*I248*Isw_max*0.5*Efficiency</f>
        <v>8.7521316306483303</v>
      </c>
      <c r="O248" s="177">
        <f t="shared" si="333"/>
        <v>1.536</v>
      </c>
      <c r="P248" s="222">
        <f t="shared" ref="P248:P279" si="388">N248/Vout</f>
        <v>0.72934430255402749</v>
      </c>
      <c r="Q248" s="222">
        <f t="shared" ref="Q248:Q279" si="389">MIN(Vout,N248/F248)</f>
        <v>12</v>
      </c>
      <c r="R248" s="222"/>
      <c r="S248" s="177">
        <f t="shared" ref="S248:S279" si="390">(SQRT(Isw_max^2*Nps^2*I248^2+4*Isw_max*F248/Efficiency*(Nps^2*Vfwd1*I248-Nps*I248^2)+4*(F248/Efficiency)^2*Nps^2*Vfwd1^2+8*(F248/Efficiency)^2*Nps*Vfwd1*I248+4*(F248/Efficiency)^2*I248^2)-2*F248/Efficiency*I248-2*F248/Efficiency*Nps*Vfwd1+Isw_max*Nps*I248)/(4*F248/Efficiency*Nps)</f>
        <v>128.88024309349183</v>
      </c>
      <c r="T248" s="177">
        <f t="shared" ref="T248:T279" si="391">MIN(Vout, S248)</f>
        <v>12</v>
      </c>
      <c r="U248" s="222">
        <f t="shared" ref="U248:U279" si="392">MIN(2*Vout*F248/(Efficiency*I248*M248), Isw_max)</f>
        <v>0.25447514891123912</v>
      </c>
      <c r="V248" s="222">
        <f t="shared" ref="V248:V279" si="393">L*U248/I248*1000000</f>
        <v>0.80969365562666995</v>
      </c>
      <c r="W248" s="222">
        <f t="shared" ref="W248:W279" si="394">L*U248/J248*1000000</f>
        <v>0.87248622483853411</v>
      </c>
      <c r="X248" s="202">
        <f t="shared" ref="X248:X279" si="395">IF(1/((350000*L)*(1/I248+1/J248))&gt;Isw_min, 350, 0.001/((Isw_min*L)*(1/I248+1/J248)))</f>
        <v>350</v>
      </c>
      <c r="Y248" s="453">
        <f t="shared" si="362"/>
        <v>350</v>
      </c>
      <c r="AA248" s="222">
        <f t="shared" ref="AA248:AA279" si="396">1/((X248*1000*L)*(1/I248+1/J248))</f>
        <v>0.4322200392927309</v>
      </c>
      <c r="AB248" s="178">
        <f t="shared" ref="AB248:AB279" si="397">L*AA248/J248*1000000</f>
        <v>1.4818972775750774</v>
      </c>
      <c r="AC248" s="178">
        <f t="shared" ref="AC248:AC279" si="398">0.5*AB248*AA248*Nps*X248/1000</f>
        <v>0.22417699483945183</v>
      </c>
      <c r="AD248" s="178"/>
      <c r="AE248" s="178">
        <f t="shared" ref="AE248:AE279" si="399">L*Isw_min/J248*1000000</f>
        <v>0.99428571428571422</v>
      </c>
      <c r="AF248" s="562">
        <f t="shared" ref="AF248:AF279" si="400">MAX(10000,F248/(0.5*AE248/1000000*Isw_min*Nps))/1000</f>
        <v>443.91597304795891</v>
      </c>
      <c r="AG248" s="545">
        <f t="shared" ref="AG248:AG279" si="401">0.5*AE248/1000000*Isw_min*Nps*X248*1000</f>
        <v>0.10091999999999998</v>
      </c>
      <c r="AI248" s="178">
        <f t="shared" ref="AI248:AI279" si="402">SQRT(F248/(0.5*L/J248*Fsw_DCM*Nps))</f>
        <v>0.32659863237109044</v>
      </c>
      <c r="AJ248" s="178">
        <f t="shared" ref="AJ248:AJ279" si="403">MAX(IF(F248&gt;AC248,U248,AI248),Isw_min)</f>
        <v>0.32659863237109044</v>
      </c>
      <c r="AK248" s="178">
        <f t="shared" ref="AK248:AK279" si="404">IF(F248&gt;AG248, (AJ248-Isw_min)/1.08*0.8+1.2, AF248*0.2/350+1)</f>
        <v>1.2271100980526595</v>
      </c>
      <c r="AM248" s="562">
        <f t="shared" ref="AM248:AM279" si="405">F248*1000</f>
        <v>128</v>
      </c>
      <c r="AN248" s="471">
        <f t="shared" ref="AN248:AN279" si="406">IF(F248&gt;AG248, Y248, AF248)</f>
        <v>350</v>
      </c>
      <c r="AP248">
        <f t="shared" ref="AP248:AP279" si="407">IF(H248&gt;N248, "",AM248)</f>
        <v>128</v>
      </c>
      <c r="AQ248">
        <f t="shared" ref="AQ248:AQ279" si="408">IF(H248&gt;N248, "",AN248)</f>
        <v>350</v>
      </c>
      <c r="AS248" s="5">
        <f t="shared" si="334"/>
        <v>2.8571428571428572</v>
      </c>
      <c r="AT248" s="5">
        <f t="shared" ref="AT248:AT279" si="409">L*AJ248/I248*1000000</f>
        <v>1.0391774666352878</v>
      </c>
      <c r="AU248" s="5">
        <f t="shared" si="380"/>
        <v>1.8179653905075694</v>
      </c>
      <c r="AV248" s="5"/>
      <c r="AW248" s="178">
        <f t="shared" si="381"/>
        <v>0.36371211332235071</v>
      </c>
      <c r="AX248" s="178"/>
      <c r="CD248" s="580">
        <f t="shared" ref="CD248:CD279" si="410">IF(ABS(F248-Ioutmax_Vinmax)&lt;Iout/200, AN248, -50)</f>
        <v>-50</v>
      </c>
      <c r="CE248">
        <f t="shared" ref="CE248:CE279" si="411">IF(ABS(F248-Ioutmax_Vinmin)&lt;Iout/200, N248*BZ248, -50)</f>
        <v>-50</v>
      </c>
    </row>
    <row r="249" spans="5:83" x14ac:dyDescent="0.2">
      <c r="E249" s="175">
        <v>33</v>
      </c>
      <c r="F249" s="222">
        <f t="shared" ref="F249:F280" si="412">IF(PLOT_TYPE=1, E249/100*Iout_max, min_I*EXP(N249*rr/100))</f>
        <v>0.13200000000000001</v>
      </c>
      <c r="G249" s="222"/>
      <c r="H249" s="222">
        <f t="shared" si="382"/>
        <v>1.5840000000000001</v>
      </c>
      <c r="I249" s="558">
        <f t="shared" si="383"/>
        <v>26.4</v>
      </c>
      <c r="J249" s="453">
        <f t="shared" si="384"/>
        <v>24.5</v>
      </c>
      <c r="K249" s="453">
        <f t="shared" si="385"/>
        <v>50.9</v>
      </c>
      <c r="L249" s="453"/>
      <c r="M249" s="222">
        <f t="shared" si="386"/>
        <v>0.48133595284872299</v>
      </c>
      <c r="N249" s="177">
        <f t="shared" si="387"/>
        <v>8.7521316306483303</v>
      </c>
      <c r="O249" s="177">
        <f t="shared" si="333"/>
        <v>1.5840000000000001</v>
      </c>
      <c r="P249" s="222">
        <f t="shared" si="388"/>
        <v>0.72934430255402749</v>
      </c>
      <c r="Q249" s="222">
        <f t="shared" si="389"/>
        <v>12</v>
      </c>
      <c r="R249" s="222"/>
      <c r="S249" s="177">
        <f t="shared" si="390"/>
        <v>124.57643670753598</v>
      </c>
      <c r="T249" s="177">
        <f t="shared" si="391"/>
        <v>12</v>
      </c>
      <c r="U249" s="222">
        <f t="shared" si="392"/>
        <v>0.26242749731471537</v>
      </c>
      <c r="V249" s="222">
        <f t="shared" si="393"/>
        <v>0.83499658236500351</v>
      </c>
      <c r="W249" s="222">
        <f t="shared" si="394"/>
        <v>0.89975141936473835</v>
      </c>
      <c r="X249" s="202">
        <f t="shared" si="395"/>
        <v>350</v>
      </c>
      <c r="Y249" s="453">
        <f t="shared" si="362"/>
        <v>350</v>
      </c>
      <c r="AA249" s="222">
        <f t="shared" si="396"/>
        <v>0.4322200392927309</v>
      </c>
      <c r="AB249" s="178">
        <f t="shared" si="397"/>
        <v>1.4818972775750774</v>
      </c>
      <c r="AC249" s="178">
        <f t="shared" si="398"/>
        <v>0.22417699483945183</v>
      </c>
      <c r="AD249" s="178"/>
      <c r="AE249" s="178">
        <f t="shared" si="399"/>
        <v>0.99428571428571422</v>
      </c>
      <c r="AF249" s="562">
        <f t="shared" si="400"/>
        <v>457.78834720570762</v>
      </c>
      <c r="AG249" s="545">
        <f t="shared" si="401"/>
        <v>0.10091999999999998</v>
      </c>
      <c r="AI249" s="178">
        <f t="shared" si="402"/>
        <v>0.33166247903554003</v>
      </c>
      <c r="AJ249" s="178">
        <f t="shared" si="403"/>
        <v>0.33166247903554003</v>
      </c>
      <c r="AK249" s="178">
        <f t="shared" si="404"/>
        <v>1.2308610955818815</v>
      </c>
      <c r="AM249" s="562">
        <f t="shared" si="405"/>
        <v>132</v>
      </c>
      <c r="AN249" s="471">
        <f t="shared" si="406"/>
        <v>350</v>
      </c>
      <c r="AP249">
        <f t="shared" si="407"/>
        <v>132</v>
      </c>
      <c r="AQ249">
        <f t="shared" si="408"/>
        <v>350</v>
      </c>
      <c r="AS249" s="5">
        <f t="shared" si="334"/>
        <v>2.8571428571428572</v>
      </c>
      <c r="AT249" s="5">
        <f t="shared" si="409"/>
        <v>1.0552897060221729</v>
      </c>
      <c r="AU249" s="5">
        <f t="shared" si="380"/>
        <v>1.8018531511206843</v>
      </c>
      <c r="AV249" s="5"/>
      <c r="AW249" s="178">
        <f t="shared" si="381"/>
        <v>0.36935139710776049</v>
      </c>
      <c r="AX249" s="178"/>
      <c r="CD249" s="580">
        <f t="shared" si="410"/>
        <v>-50</v>
      </c>
      <c r="CE249">
        <f t="shared" si="411"/>
        <v>-50</v>
      </c>
    </row>
    <row r="250" spans="5:83" x14ac:dyDescent="0.2">
      <c r="E250" s="175">
        <v>34</v>
      </c>
      <c r="F250" s="222">
        <f t="shared" si="412"/>
        <v>0.13600000000000001</v>
      </c>
      <c r="G250" s="222"/>
      <c r="H250" s="222">
        <f t="shared" si="382"/>
        <v>1.6320000000000001</v>
      </c>
      <c r="I250" s="558">
        <f t="shared" si="383"/>
        <v>26.4</v>
      </c>
      <c r="J250" s="453">
        <f t="shared" si="384"/>
        <v>24.5</v>
      </c>
      <c r="K250" s="453">
        <f t="shared" si="385"/>
        <v>50.9</v>
      </c>
      <c r="L250" s="453"/>
      <c r="M250" s="222">
        <f t="shared" si="386"/>
        <v>0.48133595284872299</v>
      </c>
      <c r="N250" s="177">
        <f t="shared" si="387"/>
        <v>8.7521316306483303</v>
      </c>
      <c r="O250" s="177">
        <f t="shared" si="333"/>
        <v>1.6320000000000001</v>
      </c>
      <c r="P250" s="222">
        <f t="shared" si="388"/>
        <v>0.72934430255402749</v>
      </c>
      <c r="Q250" s="222">
        <f t="shared" si="389"/>
        <v>12</v>
      </c>
      <c r="R250" s="222"/>
      <c r="S250" s="177">
        <f t="shared" si="390"/>
        <v>120.52585275434303</v>
      </c>
      <c r="T250" s="177">
        <f t="shared" si="391"/>
        <v>12</v>
      </c>
      <c r="U250" s="222">
        <f t="shared" si="392"/>
        <v>0.27037984571819162</v>
      </c>
      <c r="V250" s="222">
        <f t="shared" si="393"/>
        <v>0.86029950910333708</v>
      </c>
      <c r="W250" s="222">
        <f t="shared" si="394"/>
        <v>0.9270166138909427</v>
      </c>
      <c r="X250" s="202">
        <f t="shared" si="395"/>
        <v>350</v>
      </c>
      <c r="Y250" s="453">
        <f t="shared" si="362"/>
        <v>350</v>
      </c>
      <c r="AA250" s="222">
        <f t="shared" si="396"/>
        <v>0.4322200392927309</v>
      </c>
      <c r="AB250" s="178">
        <f t="shared" si="397"/>
        <v>1.4818972775750774</v>
      </c>
      <c r="AC250" s="178">
        <f t="shared" si="398"/>
        <v>0.22417699483945183</v>
      </c>
      <c r="AD250" s="178"/>
      <c r="AE250" s="178">
        <f t="shared" si="399"/>
        <v>0.99428571428571422</v>
      </c>
      <c r="AF250" s="562">
        <f t="shared" si="400"/>
        <v>471.66072136345633</v>
      </c>
      <c r="AG250" s="545">
        <f t="shared" si="401"/>
        <v>0.10091999999999998</v>
      </c>
      <c r="AI250" s="178">
        <f t="shared" si="402"/>
        <v>0.33665016461206926</v>
      </c>
      <c r="AJ250" s="178">
        <f t="shared" si="403"/>
        <v>0.33665016461206926</v>
      </c>
      <c r="AK250" s="178">
        <f t="shared" si="404"/>
        <v>1.2345556774904216</v>
      </c>
      <c r="AM250" s="562">
        <f t="shared" si="405"/>
        <v>136</v>
      </c>
      <c r="AN250" s="471">
        <f t="shared" si="406"/>
        <v>350</v>
      </c>
      <c r="AP250">
        <f t="shared" si="407"/>
        <v>136</v>
      </c>
      <c r="AQ250">
        <f t="shared" si="408"/>
        <v>350</v>
      </c>
      <c r="AS250" s="5">
        <f t="shared" si="334"/>
        <v>2.8571428571428572</v>
      </c>
      <c r="AT250" s="5">
        <f t="shared" si="409"/>
        <v>1.0711596146747657</v>
      </c>
      <c r="AU250" s="5">
        <f t="shared" si="380"/>
        <v>1.7859832424680915</v>
      </c>
      <c r="AV250" s="5"/>
      <c r="AW250" s="178">
        <f t="shared" si="381"/>
        <v>0.37490586513616797</v>
      </c>
      <c r="AX250" s="178"/>
      <c r="CD250" s="580">
        <f t="shared" si="410"/>
        <v>-50</v>
      </c>
      <c r="CE250">
        <f t="shared" si="411"/>
        <v>-50</v>
      </c>
    </row>
    <row r="251" spans="5:83" x14ac:dyDescent="0.2">
      <c r="E251" s="175">
        <v>35</v>
      </c>
      <c r="F251" s="222">
        <f t="shared" si="412"/>
        <v>0.13999999999999999</v>
      </c>
      <c r="G251" s="222"/>
      <c r="H251" s="222">
        <f t="shared" si="382"/>
        <v>1.6799999999999997</v>
      </c>
      <c r="I251" s="558">
        <f t="shared" si="383"/>
        <v>26.4</v>
      </c>
      <c r="J251" s="453">
        <f t="shared" si="384"/>
        <v>24.5</v>
      </c>
      <c r="K251" s="453">
        <f t="shared" si="385"/>
        <v>50.9</v>
      </c>
      <c r="L251" s="453"/>
      <c r="M251" s="222">
        <f t="shared" si="386"/>
        <v>0.48133595284872299</v>
      </c>
      <c r="N251" s="177">
        <f t="shared" si="387"/>
        <v>8.7521316306483303</v>
      </c>
      <c r="O251" s="177">
        <f t="shared" si="333"/>
        <v>1.6799999999999997</v>
      </c>
      <c r="P251" s="222">
        <f t="shared" si="388"/>
        <v>0.72934430255402749</v>
      </c>
      <c r="Q251" s="222">
        <f t="shared" si="389"/>
        <v>12</v>
      </c>
      <c r="R251" s="222"/>
      <c r="S251" s="177">
        <f t="shared" si="390"/>
        <v>116.70678697796595</v>
      </c>
      <c r="T251" s="177">
        <f t="shared" si="391"/>
        <v>12</v>
      </c>
      <c r="U251" s="222">
        <f t="shared" si="392"/>
        <v>0.27833219412166776</v>
      </c>
      <c r="V251" s="222">
        <f t="shared" si="393"/>
        <v>0.8856024358416702</v>
      </c>
      <c r="W251" s="222">
        <f t="shared" si="394"/>
        <v>0.9542818084171466</v>
      </c>
      <c r="X251" s="202">
        <f t="shared" si="395"/>
        <v>350</v>
      </c>
      <c r="Y251" s="453">
        <f t="shared" si="362"/>
        <v>350</v>
      </c>
      <c r="AA251" s="222">
        <f t="shared" si="396"/>
        <v>0.4322200392927309</v>
      </c>
      <c r="AB251" s="178">
        <f t="shared" si="397"/>
        <v>1.4818972775750774</v>
      </c>
      <c r="AC251" s="178">
        <f t="shared" si="398"/>
        <v>0.22417699483945183</v>
      </c>
      <c r="AD251" s="178"/>
      <c r="AE251" s="178">
        <f t="shared" si="399"/>
        <v>0.99428571428571422</v>
      </c>
      <c r="AF251" s="562">
        <f t="shared" si="400"/>
        <v>485.53309552120498</v>
      </c>
      <c r="AG251" s="545">
        <f t="shared" si="401"/>
        <v>0.10091999999999998</v>
      </c>
      <c r="AI251" s="178">
        <f t="shared" si="402"/>
        <v>0.34156502553198659</v>
      </c>
      <c r="AJ251" s="178">
        <f t="shared" si="403"/>
        <v>0.34156502553198659</v>
      </c>
      <c r="AK251" s="178">
        <f t="shared" si="404"/>
        <v>1.2381963152088789</v>
      </c>
      <c r="AM251" s="562">
        <f t="shared" si="405"/>
        <v>139.99999999999997</v>
      </c>
      <c r="AN251" s="471">
        <f t="shared" si="406"/>
        <v>350</v>
      </c>
      <c r="AP251">
        <f t="shared" si="407"/>
        <v>139.99999999999997</v>
      </c>
      <c r="AQ251">
        <f t="shared" si="408"/>
        <v>350</v>
      </c>
      <c r="AS251" s="5">
        <f t="shared" si="334"/>
        <v>2.8571428571428572</v>
      </c>
      <c r="AT251" s="5">
        <f t="shared" si="409"/>
        <v>1.0867978085108663</v>
      </c>
      <c r="AU251" s="5">
        <f t="shared" si="380"/>
        <v>1.7703450486319909</v>
      </c>
      <c r="AV251" s="5"/>
      <c r="AW251" s="178">
        <f t="shared" si="381"/>
        <v>0.38037923297880316</v>
      </c>
      <c r="AX251" s="178"/>
      <c r="CD251" s="580">
        <f t="shared" si="410"/>
        <v>-50</v>
      </c>
      <c r="CE251">
        <f t="shared" si="411"/>
        <v>-50</v>
      </c>
    </row>
    <row r="252" spans="5:83" x14ac:dyDescent="0.2">
      <c r="E252" s="175">
        <v>36</v>
      </c>
      <c r="F252" s="222">
        <f t="shared" si="412"/>
        <v>0.14399999999999999</v>
      </c>
      <c r="G252" s="222"/>
      <c r="H252" s="222">
        <f t="shared" si="382"/>
        <v>1.7279999999999998</v>
      </c>
      <c r="I252" s="558">
        <f t="shared" si="383"/>
        <v>26.4</v>
      </c>
      <c r="J252" s="453">
        <f t="shared" si="384"/>
        <v>24.5</v>
      </c>
      <c r="K252" s="453">
        <f t="shared" si="385"/>
        <v>50.9</v>
      </c>
      <c r="L252" s="453"/>
      <c r="M252" s="222">
        <f t="shared" si="386"/>
        <v>0.48133595284872299</v>
      </c>
      <c r="N252" s="177">
        <f t="shared" si="387"/>
        <v>8.7521316306483303</v>
      </c>
      <c r="O252" s="177">
        <f t="shared" si="333"/>
        <v>1.7279999999999998</v>
      </c>
      <c r="P252" s="222">
        <f t="shared" si="388"/>
        <v>0.72934430255402749</v>
      </c>
      <c r="Q252" s="222">
        <f t="shared" si="389"/>
        <v>12</v>
      </c>
      <c r="R252" s="222"/>
      <c r="S252" s="177">
        <f t="shared" si="390"/>
        <v>113.09994671270142</v>
      </c>
      <c r="T252" s="177">
        <f t="shared" si="391"/>
        <v>12</v>
      </c>
      <c r="U252" s="222">
        <f t="shared" si="392"/>
        <v>0.28628454252514401</v>
      </c>
      <c r="V252" s="222">
        <f t="shared" si="393"/>
        <v>0.91090536258000365</v>
      </c>
      <c r="W252" s="222">
        <f t="shared" si="394"/>
        <v>0.98154700294335084</v>
      </c>
      <c r="X252" s="202">
        <f t="shared" si="395"/>
        <v>350</v>
      </c>
      <c r="Y252" s="453">
        <f t="shared" si="362"/>
        <v>350</v>
      </c>
      <c r="AA252" s="222">
        <f t="shared" si="396"/>
        <v>0.4322200392927309</v>
      </c>
      <c r="AB252" s="178">
        <f t="shared" si="397"/>
        <v>1.4818972775750774</v>
      </c>
      <c r="AC252" s="178">
        <f t="shared" si="398"/>
        <v>0.22417699483945183</v>
      </c>
      <c r="AD252" s="178"/>
      <c r="AE252" s="178">
        <f t="shared" si="399"/>
        <v>0.99428571428571422</v>
      </c>
      <c r="AF252" s="562">
        <f t="shared" si="400"/>
        <v>499.40546967895369</v>
      </c>
      <c r="AG252" s="545">
        <f t="shared" si="401"/>
        <v>0.10091999999999998</v>
      </c>
      <c r="AI252" s="178">
        <f t="shared" si="402"/>
        <v>0.34641016151377546</v>
      </c>
      <c r="AJ252" s="178">
        <f t="shared" si="403"/>
        <v>0.34641016151377546</v>
      </c>
      <c r="AK252" s="178">
        <f t="shared" si="404"/>
        <v>1.2417853048250189</v>
      </c>
      <c r="AM252" s="562">
        <f t="shared" si="405"/>
        <v>144</v>
      </c>
      <c r="AN252" s="471">
        <f t="shared" si="406"/>
        <v>350</v>
      </c>
      <c r="AP252">
        <f t="shared" si="407"/>
        <v>144</v>
      </c>
      <c r="AQ252">
        <f t="shared" si="408"/>
        <v>350</v>
      </c>
      <c r="AS252" s="5">
        <f t="shared" si="334"/>
        <v>2.8571428571428572</v>
      </c>
      <c r="AT252" s="5">
        <f t="shared" si="409"/>
        <v>1.1022141502711038</v>
      </c>
      <c r="AU252" s="5">
        <f t="shared" si="380"/>
        <v>1.7549287068717534</v>
      </c>
      <c r="AV252" s="5"/>
      <c r="AW252" s="178">
        <f t="shared" si="381"/>
        <v>0.38577495259488631</v>
      </c>
      <c r="AX252" s="178"/>
      <c r="CD252" s="580">
        <f t="shared" si="410"/>
        <v>-50</v>
      </c>
      <c r="CE252">
        <f t="shared" si="411"/>
        <v>-50</v>
      </c>
    </row>
    <row r="253" spans="5:83" x14ac:dyDescent="0.2">
      <c r="E253" s="175">
        <v>37</v>
      </c>
      <c r="F253" s="222">
        <f t="shared" si="412"/>
        <v>0.14799999999999999</v>
      </c>
      <c r="G253" s="222"/>
      <c r="H253" s="222">
        <f t="shared" si="382"/>
        <v>1.7759999999999998</v>
      </c>
      <c r="I253" s="558">
        <f t="shared" si="383"/>
        <v>26.4</v>
      </c>
      <c r="J253" s="453">
        <f t="shared" si="384"/>
        <v>24.5</v>
      </c>
      <c r="K253" s="453">
        <f t="shared" si="385"/>
        <v>50.9</v>
      </c>
      <c r="L253" s="453"/>
      <c r="M253" s="222">
        <f t="shared" si="386"/>
        <v>0.48133595284872299</v>
      </c>
      <c r="N253" s="177">
        <f t="shared" si="387"/>
        <v>8.7521316306483303</v>
      </c>
      <c r="O253" s="177">
        <f t="shared" si="333"/>
        <v>1.7759999999999998</v>
      </c>
      <c r="P253" s="222">
        <f t="shared" si="388"/>
        <v>0.72934430255402749</v>
      </c>
      <c r="Q253" s="222">
        <f t="shared" si="389"/>
        <v>12</v>
      </c>
      <c r="R253" s="222"/>
      <c r="S253" s="177">
        <f t="shared" si="390"/>
        <v>109.68812499260764</v>
      </c>
      <c r="T253" s="177">
        <f t="shared" si="391"/>
        <v>12</v>
      </c>
      <c r="U253" s="222">
        <f t="shared" si="392"/>
        <v>0.29423689092862021</v>
      </c>
      <c r="V253" s="222">
        <f t="shared" si="393"/>
        <v>0.93620828931833699</v>
      </c>
      <c r="W253" s="222">
        <f t="shared" si="394"/>
        <v>1.008812197469555</v>
      </c>
      <c r="X253" s="202">
        <f t="shared" si="395"/>
        <v>350</v>
      </c>
      <c r="Y253" s="453">
        <f t="shared" si="362"/>
        <v>350</v>
      </c>
      <c r="AA253" s="222">
        <f t="shared" si="396"/>
        <v>0.4322200392927309</v>
      </c>
      <c r="AB253" s="178">
        <f t="shared" si="397"/>
        <v>1.4818972775750774</v>
      </c>
      <c r="AC253" s="178">
        <f t="shared" si="398"/>
        <v>0.22417699483945183</v>
      </c>
      <c r="AD253" s="178"/>
      <c r="AE253" s="178">
        <f t="shared" si="399"/>
        <v>0.99428571428571422</v>
      </c>
      <c r="AF253" s="562">
        <f t="shared" si="400"/>
        <v>513.27784383670246</v>
      </c>
      <c r="AG253" s="545">
        <f t="shared" si="401"/>
        <v>0.10091999999999998</v>
      </c>
      <c r="AI253" s="178">
        <f t="shared" si="402"/>
        <v>0.35118845842842461</v>
      </c>
      <c r="AJ253" s="178">
        <f t="shared" si="403"/>
        <v>0.35118845842842461</v>
      </c>
      <c r="AK253" s="178">
        <f t="shared" si="404"/>
        <v>1.2453247840210553</v>
      </c>
      <c r="AM253" s="562">
        <f t="shared" si="405"/>
        <v>148</v>
      </c>
      <c r="AN253" s="471">
        <f t="shared" si="406"/>
        <v>350</v>
      </c>
      <c r="AP253">
        <f t="shared" si="407"/>
        <v>148</v>
      </c>
      <c r="AQ253">
        <f t="shared" si="408"/>
        <v>350</v>
      </c>
      <c r="AS253" s="5">
        <f t="shared" si="334"/>
        <v>2.8571428571428572</v>
      </c>
      <c r="AT253" s="5">
        <f t="shared" si="409"/>
        <v>1.1174178222722599</v>
      </c>
      <c r="AU253" s="5">
        <f t="shared" si="380"/>
        <v>1.7397250348705973</v>
      </c>
      <c r="AV253" s="5"/>
      <c r="AW253" s="178">
        <f t="shared" si="381"/>
        <v>0.39109623779529096</v>
      </c>
      <c r="AX253" s="178"/>
      <c r="CD253" s="580">
        <f t="shared" si="410"/>
        <v>-50</v>
      </c>
      <c r="CE253">
        <f t="shared" si="411"/>
        <v>-50</v>
      </c>
    </row>
    <row r="254" spans="5:83" x14ac:dyDescent="0.2">
      <c r="E254" s="175">
        <v>38</v>
      </c>
      <c r="F254" s="222">
        <f t="shared" si="412"/>
        <v>0.15200000000000002</v>
      </c>
      <c r="G254" s="222"/>
      <c r="H254" s="222">
        <f t="shared" si="382"/>
        <v>1.8240000000000003</v>
      </c>
      <c r="I254" s="558">
        <f t="shared" si="383"/>
        <v>26.4</v>
      </c>
      <c r="J254" s="453">
        <f t="shared" si="384"/>
        <v>24.5</v>
      </c>
      <c r="K254" s="453">
        <f t="shared" si="385"/>
        <v>50.9</v>
      </c>
      <c r="L254" s="453"/>
      <c r="M254" s="222">
        <f t="shared" si="386"/>
        <v>0.48133595284872299</v>
      </c>
      <c r="N254" s="177">
        <f t="shared" si="387"/>
        <v>8.7521316306483303</v>
      </c>
      <c r="O254" s="177">
        <f t="shared" si="333"/>
        <v>1.8240000000000003</v>
      </c>
      <c r="P254" s="222">
        <f t="shared" si="388"/>
        <v>0.72934430255402749</v>
      </c>
      <c r="Q254" s="222">
        <f t="shared" si="389"/>
        <v>12</v>
      </c>
      <c r="R254" s="222"/>
      <c r="S254" s="177">
        <f t="shared" si="390"/>
        <v>106.45592611741512</v>
      </c>
      <c r="T254" s="177">
        <f t="shared" si="391"/>
        <v>12</v>
      </c>
      <c r="U254" s="222">
        <f t="shared" si="392"/>
        <v>0.30218923933209652</v>
      </c>
      <c r="V254" s="222">
        <f t="shared" si="393"/>
        <v>0.96151121605667056</v>
      </c>
      <c r="W254" s="222">
        <f t="shared" si="394"/>
        <v>1.0360773919957593</v>
      </c>
      <c r="X254" s="202">
        <f t="shared" si="395"/>
        <v>350</v>
      </c>
      <c r="Y254" s="453">
        <f t="shared" si="362"/>
        <v>350</v>
      </c>
      <c r="AA254" s="222">
        <f t="shared" si="396"/>
        <v>0.4322200392927309</v>
      </c>
      <c r="AB254" s="178">
        <f t="shared" si="397"/>
        <v>1.4818972775750774</v>
      </c>
      <c r="AC254" s="178">
        <f t="shared" si="398"/>
        <v>0.22417699483945183</v>
      </c>
      <c r="AD254" s="178"/>
      <c r="AE254" s="178">
        <f t="shared" si="399"/>
        <v>0.99428571428571422</v>
      </c>
      <c r="AF254" s="562">
        <f t="shared" si="400"/>
        <v>527.15021799445128</v>
      </c>
      <c r="AG254" s="545">
        <f t="shared" si="401"/>
        <v>0.10091999999999998</v>
      </c>
      <c r="AI254" s="178">
        <f t="shared" si="402"/>
        <v>0.35590260840104376</v>
      </c>
      <c r="AJ254" s="178">
        <f t="shared" si="403"/>
        <v>0.35590260840104376</v>
      </c>
      <c r="AK254" s="178">
        <f t="shared" si="404"/>
        <v>1.2488167469637361</v>
      </c>
      <c r="AM254" s="562">
        <f t="shared" si="405"/>
        <v>152.00000000000003</v>
      </c>
      <c r="AN254" s="471">
        <f t="shared" si="406"/>
        <v>350</v>
      </c>
      <c r="AP254">
        <f t="shared" si="407"/>
        <v>152.00000000000003</v>
      </c>
      <c r="AQ254">
        <f t="shared" si="408"/>
        <v>350</v>
      </c>
      <c r="AS254" s="5">
        <f t="shared" si="334"/>
        <v>2.8571428571428572</v>
      </c>
      <c r="AT254" s="5">
        <f t="shared" si="409"/>
        <v>1.1324173903669574</v>
      </c>
      <c r="AU254" s="5">
        <f t="shared" si="380"/>
        <v>1.7247254667758998</v>
      </c>
      <c r="AV254" s="5"/>
      <c r="AW254" s="178">
        <f t="shared" si="381"/>
        <v>0.39634608662843507</v>
      </c>
      <c r="AX254" s="178"/>
      <c r="CD254" s="580">
        <f t="shared" si="410"/>
        <v>-50</v>
      </c>
      <c r="CE254">
        <f t="shared" si="411"/>
        <v>-50</v>
      </c>
    </row>
    <row r="255" spans="5:83" x14ac:dyDescent="0.2">
      <c r="E255" s="175">
        <v>39</v>
      </c>
      <c r="F255" s="222">
        <f t="shared" si="412"/>
        <v>0.15600000000000003</v>
      </c>
      <c r="G255" s="222"/>
      <c r="H255" s="222">
        <f t="shared" si="382"/>
        <v>1.8720000000000003</v>
      </c>
      <c r="I255" s="558">
        <f t="shared" si="383"/>
        <v>26.4</v>
      </c>
      <c r="J255" s="453">
        <f t="shared" si="384"/>
        <v>24.5</v>
      </c>
      <c r="K255" s="453">
        <f t="shared" si="385"/>
        <v>50.9</v>
      </c>
      <c r="L255" s="453"/>
      <c r="M255" s="222">
        <f t="shared" si="386"/>
        <v>0.48133595284872299</v>
      </c>
      <c r="N255" s="177">
        <f t="shared" si="387"/>
        <v>8.7521316306483303</v>
      </c>
      <c r="O255" s="177">
        <f t="shared" si="333"/>
        <v>1.8720000000000003</v>
      </c>
      <c r="P255" s="222">
        <f t="shared" si="388"/>
        <v>0.72934430255402749</v>
      </c>
      <c r="Q255" s="222">
        <f t="shared" si="389"/>
        <v>12</v>
      </c>
      <c r="R255" s="222"/>
      <c r="S255" s="177">
        <f t="shared" si="390"/>
        <v>103.38953343906844</v>
      </c>
      <c r="T255" s="177">
        <f t="shared" si="391"/>
        <v>12</v>
      </c>
      <c r="U255" s="222">
        <f t="shared" si="392"/>
        <v>0.31014158773557277</v>
      </c>
      <c r="V255" s="222">
        <f t="shared" si="393"/>
        <v>0.98681414279500423</v>
      </c>
      <c r="W255" s="222">
        <f t="shared" si="394"/>
        <v>1.0633425865219637</v>
      </c>
      <c r="X255" s="202">
        <f t="shared" si="395"/>
        <v>350</v>
      </c>
      <c r="Y255" s="453">
        <f t="shared" si="362"/>
        <v>350</v>
      </c>
      <c r="AA255" s="222">
        <f t="shared" si="396"/>
        <v>0.4322200392927309</v>
      </c>
      <c r="AB255" s="178">
        <f t="shared" si="397"/>
        <v>1.4818972775750774</v>
      </c>
      <c r="AC255" s="178">
        <f t="shared" si="398"/>
        <v>0.22417699483945183</v>
      </c>
      <c r="AD255" s="178"/>
      <c r="AE255" s="178">
        <f t="shared" si="399"/>
        <v>0.99428571428571422</v>
      </c>
      <c r="AF255" s="562">
        <f t="shared" si="400"/>
        <v>541.02259215219999</v>
      </c>
      <c r="AG255" s="545">
        <f t="shared" si="401"/>
        <v>0.10091999999999998</v>
      </c>
      <c r="AI255" s="178">
        <f t="shared" si="402"/>
        <v>0.36055512754639896</v>
      </c>
      <c r="AJ255" s="178">
        <f t="shared" si="403"/>
        <v>0.36055512754639896</v>
      </c>
      <c r="AK255" s="178">
        <f t="shared" si="404"/>
        <v>1.252263057441777</v>
      </c>
      <c r="AM255" s="562">
        <f t="shared" si="405"/>
        <v>156.00000000000003</v>
      </c>
      <c r="AN255" s="471">
        <f t="shared" si="406"/>
        <v>350</v>
      </c>
      <c r="AP255">
        <f t="shared" si="407"/>
        <v>156.00000000000003</v>
      </c>
      <c r="AQ255">
        <f t="shared" si="408"/>
        <v>350</v>
      </c>
      <c r="AS255" s="5">
        <f t="shared" si="334"/>
        <v>2.8571428571428572</v>
      </c>
      <c r="AT255" s="5">
        <f t="shared" si="409"/>
        <v>1.1472208603749057</v>
      </c>
      <c r="AU255" s="5">
        <f t="shared" si="380"/>
        <v>1.7099219967679515</v>
      </c>
      <c r="AV255" s="5"/>
      <c r="AW255" s="178">
        <f t="shared" si="381"/>
        <v>0.40152730113121698</v>
      </c>
      <c r="AX255" s="178"/>
      <c r="CD255" s="580">
        <f t="shared" si="410"/>
        <v>-50</v>
      </c>
      <c r="CE255">
        <f t="shared" si="411"/>
        <v>-50</v>
      </c>
    </row>
    <row r="256" spans="5:83" x14ac:dyDescent="0.2">
      <c r="E256" s="175">
        <v>40</v>
      </c>
      <c r="F256" s="222">
        <f t="shared" si="412"/>
        <v>0.16000000000000003</v>
      </c>
      <c r="G256" s="222"/>
      <c r="H256" s="222">
        <f t="shared" si="382"/>
        <v>1.9200000000000004</v>
      </c>
      <c r="I256" s="558">
        <f t="shared" si="383"/>
        <v>26.4</v>
      </c>
      <c r="J256" s="453">
        <f t="shared" si="384"/>
        <v>24.5</v>
      </c>
      <c r="K256" s="453">
        <f t="shared" si="385"/>
        <v>50.9</v>
      </c>
      <c r="L256" s="453"/>
      <c r="M256" s="222">
        <f t="shared" si="386"/>
        <v>0.48133595284872299</v>
      </c>
      <c r="N256" s="177">
        <f t="shared" si="387"/>
        <v>8.7521316306483303</v>
      </c>
      <c r="O256" s="177">
        <f t="shared" si="333"/>
        <v>1.9200000000000004</v>
      </c>
      <c r="P256" s="222">
        <f t="shared" si="388"/>
        <v>0.72934430255402749</v>
      </c>
      <c r="Q256" s="222">
        <f t="shared" si="389"/>
        <v>12</v>
      </c>
      <c r="R256" s="222"/>
      <c r="S256" s="177">
        <f t="shared" si="390"/>
        <v>100.47651198028817</v>
      </c>
      <c r="T256" s="177">
        <f t="shared" si="391"/>
        <v>12</v>
      </c>
      <c r="U256" s="222">
        <f t="shared" si="392"/>
        <v>0.31809393613904902</v>
      </c>
      <c r="V256" s="222">
        <f t="shared" si="393"/>
        <v>1.0121170695333377</v>
      </c>
      <c r="W256" s="222">
        <f t="shared" si="394"/>
        <v>1.090607781048168</v>
      </c>
      <c r="X256" s="202">
        <f t="shared" si="395"/>
        <v>350</v>
      </c>
      <c r="Y256" s="453">
        <f t="shared" si="362"/>
        <v>350</v>
      </c>
      <c r="AA256" s="222">
        <f t="shared" si="396"/>
        <v>0.4322200392927309</v>
      </c>
      <c r="AB256" s="178">
        <f t="shared" si="397"/>
        <v>1.4818972775750774</v>
      </c>
      <c r="AC256" s="178">
        <f t="shared" si="398"/>
        <v>0.22417699483945183</v>
      </c>
      <c r="AD256" s="178"/>
      <c r="AE256" s="178">
        <f t="shared" si="399"/>
        <v>0.99428571428571422</v>
      </c>
      <c r="AF256" s="562">
        <f t="shared" si="400"/>
        <v>554.8949663099487</v>
      </c>
      <c r="AG256" s="545">
        <f t="shared" si="401"/>
        <v>0.10091999999999998</v>
      </c>
      <c r="AI256" s="178">
        <f t="shared" si="402"/>
        <v>0.36514837167011077</v>
      </c>
      <c r="AJ256" s="178">
        <f t="shared" si="403"/>
        <v>0.36514837167011077</v>
      </c>
      <c r="AK256" s="178">
        <f t="shared" si="404"/>
        <v>1.2556654604963784</v>
      </c>
      <c r="AM256" s="562">
        <f t="shared" si="405"/>
        <v>160.00000000000003</v>
      </c>
      <c r="AN256" s="471">
        <f t="shared" si="406"/>
        <v>350</v>
      </c>
      <c r="AP256">
        <f t="shared" si="407"/>
        <v>160.00000000000003</v>
      </c>
      <c r="AQ256">
        <f t="shared" si="408"/>
        <v>350</v>
      </c>
      <c r="AS256" s="5">
        <f t="shared" si="334"/>
        <v>2.8571428571428572</v>
      </c>
      <c r="AT256" s="5">
        <f t="shared" si="409"/>
        <v>1.1618357280412617</v>
      </c>
      <c r="AU256" s="5">
        <f t="shared" si="380"/>
        <v>1.6953071291015955</v>
      </c>
      <c r="AV256" s="5"/>
      <c r="AW256" s="178">
        <f t="shared" si="381"/>
        <v>0.40664250481444159</v>
      </c>
      <c r="AX256" s="178"/>
      <c r="CD256" s="580">
        <f t="shared" si="410"/>
        <v>-50</v>
      </c>
      <c r="CE256">
        <f t="shared" si="411"/>
        <v>-50</v>
      </c>
    </row>
    <row r="257" spans="5:83" x14ac:dyDescent="0.2">
      <c r="E257" s="175">
        <v>41</v>
      </c>
      <c r="F257" s="222">
        <f t="shared" si="412"/>
        <v>0.16400000000000001</v>
      </c>
      <c r="G257" s="222"/>
      <c r="H257" s="222">
        <f t="shared" si="382"/>
        <v>1.968</v>
      </c>
      <c r="I257" s="558">
        <f t="shared" si="383"/>
        <v>26.4</v>
      </c>
      <c r="J257" s="453">
        <f t="shared" si="384"/>
        <v>24.5</v>
      </c>
      <c r="K257" s="453">
        <f t="shared" si="385"/>
        <v>50.9</v>
      </c>
      <c r="L257" s="453"/>
      <c r="M257" s="222">
        <f t="shared" si="386"/>
        <v>0.48133595284872299</v>
      </c>
      <c r="N257" s="177">
        <f t="shared" si="387"/>
        <v>8.7521316306483303</v>
      </c>
      <c r="O257" s="177">
        <f t="shared" si="333"/>
        <v>1.968</v>
      </c>
      <c r="P257" s="222">
        <f t="shared" si="388"/>
        <v>0.72934430255402749</v>
      </c>
      <c r="Q257" s="222">
        <f t="shared" si="389"/>
        <v>12</v>
      </c>
      <c r="R257" s="222"/>
      <c r="S257" s="177">
        <f t="shared" si="390"/>
        <v>97.705639938222816</v>
      </c>
      <c r="T257" s="177">
        <f t="shared" si="391"/>
        <v>12</v>
      </c>
      <c r="U257" s="222">
        <f t="shared" si="392"/>
        <v>0.32604628454252516</v>
      </c>
      <c r="V257" s="222">
        <f t="shared" si="393"/>
        <v>1.0374199962716708</v>
      </c>
      <c r="W257" s="222">
        <f t="shared" si="394"/>
        <v>1.1178729755743717</v>
      </c>
      <c r="X257" s="202">
        <f t="shared" si="395"/>
        <v>350</v>
      </c>
      <c r="Y257" s="453">
        <f t="shared" si="362"/>
        <v>350</v>
      </c>
      <c r="AA257" s="222">
        <f t="shared" si="396"/>
        <v>0.4322200392927309</v>
      </c>
      <c r="AB257" s="178">
        <f t="shared" si="397"/>
        <v>1.4818972775750774</v>
      </c>
      <c r="AC257" s="178">
        <f t="shared" si="398"/>
        <v>0.22417699483945183</v>
      </c>
      <c r="AD257" s="178"/>
      <c r="AE257" s="178">
        <f t="shared" si="399"/>
        <v>0.99428571428571422</v>
      </c>
      <c r="AF257" s="562">
        <f t="shared" si="400"/>
        <v>568.76734046769741</v>
      </c>
      <c r="AG257" s="545">
        <f t="shared" si="401"/>
        <v>0.10091999999999998</v>
      </c>
      <c r="AI257" s="178">
        <f t="shared" si="402"/>
        <v>0.36968455021364727</v>
      </c>
      <c r="AJ257" s="178">
        <f t="shared" si="403"/>
        <v>0.36968455021364727</v>
      </c>
      <c r="AK257" s="178">
        <f t="shared" si="404"/>
        <v>1.2590255927508498</v>
      </c>
      <c r="AM257" s="562">
        <f t="shared" si="405"/>
        <v>164</v>
      </c>
      <c r="AN257" s="471">
        <f t="shared" si="406"/>
        <v>350</v>
      </c>
      <c r="AP257">
        <f t="shared" si="407"/>
        <v>164</v>
      </c>
      <c r="AQ257">
        <f t="shared" si="408"/>
        <v>350</v>
      </c>
      <c r="AS257" s="5">
        <f t="shared" si="334"/>
        <v>2.8571428571428572</v>
      </c>
      <c r="AT257" s="5">
        <f t="shared" si="409"/>
        <v>1.1762690234070594</v>
      </c>
      <c r="AU257" s="5">
        <f t="shared" si="380"/>
        <v>1.6808738337357978</v>
      </c>
      <c r="AV257" s="5"/>
      <c r="AW257" s="178">
        <f t="shared" si="381"/>
        <v>0.41169415819247079</v>
      </c>
      <c r="AX257" s="178"/>
      <c r="CD257" s="580">
        <f t="shared" si="410"/>
        <v>-50</v>
      </c>
      <c r="CE257">
        <f t="shared" si="411"/>
        <v>-50</v>
      </c>
    </row>
    <row r="258" spans="5:83" x14ac:dyDescent="0.2">
      <c r="E258" s="175">
        <v>42</v>
      </c>
      <c r="F258" s="222">
        <f t="shared" si="412"/>
        <v>0.16800000000000001</v>
      </c>
      <c r="G258" s="222"/>
      <c r="H258" s="222">
        <f t="shared" si="382"/>
        <v>2.016</v>
      </c>
      <c r="I258" s="558">
        <f t="shared" si="383"/>
        <v>26.4</v>
      </c>
      <c r="J258" s="453">
        <f t="shared" si="384"/>
        <v>24.5</v>
      </c>
      <c r="K258" s="453">
        <f t="shared" si="385"/>
        <v>50.9</v>
      </c>
      <c r="L258" s="453"/>
      <c r="M258" s="222">
        <f t="shared" si="386"/>
        <v>0.48133595284872299</v>
      </c>
      <c r="N258" s="177">
        <f t="shared" si="387"/>
        <v>8.7521316306483303</v>
      </c>
      <c r="O258" s="177">
        <f t="shared" si="333"/>
        <v>2.016</v>
      </c>
      <c r="P258" s="222">
        <f t="shared" si="388"/>
        <v>0.72934430255402749</v>
      </c>
      <c r="Q258" s="222">
        <f t="shared" si="389"/>
        <v>12</v>
      </c>
      <c r="R258" s="222"/>
      <c r="S258" s="177">
        <f t="shared" si="390"/>
        <v>95.066764259009062</v>
      </c>
      <c r="T258" s="177">
        <f t="shared" si="391"/>
        <v>12</v>
      </c>
      <c r="U258" s="222">
        <f t="shared" si="392"/>
        <v>0.33399863294600135</v>
      </c>
      <c r="V258" s="222">
        <f t="shared" si="393"/>
        <v>1.0627229230100044</v>
      </c>
      <c r="W258" s="222">
        <f t="shared" si="394"/>
        <v>1.1451381701005761</v>
      </c>
      <c r="X258" s="202">
        <f t="shared" si="395"/>
        <v>350</v>
      </c>
      <c r="Y258" s="453">
        <f t="shared" si="362"/>
        <v>350</v>
      </c>
      <c r="AA258" s="222">
        <f t="shared" si="396"/>
        <v>0.4322200392927309</v>
      </c>
      <c r="AB258" s="178">
        <f t="shared" si="397"/>
        <v>1.4818972775750774</v>
      </c>
      <c r="AC258" s="178">
        <f t="shared" si="398"/>
        <v>0.22417699483945183</v>
      </c>
      <c r="AD258" s="178"/>
      <c r="AE258" s="178">
        <f t="shared" si="399"/>
        <v>0.99428571428571422</v>
      </c>
      <c r="AF258" s="562">
        <f t="shared" si="400"/>
        <v>582.63971462544612</v>
      </c>
      <c r="AG258" s="545">
        <f t="shared" si="401"/>
        <v>0.10091999999999998</v>
      </c>
      <c r="AI258" s="178">
        <f t="shared" si="402"/>
        <v>0.37416573867739417</v>
      </c>
      <c r="AJ258" s="178">
        <f t="shared" si="403"/>
        <v>0.37416573867739417</v>
      </c>
      <c r="AK258" s="178">
        <f t="shared" si="404"/>
        <v>1.2623449916128846</v>
      </c>
      <c r="AM258" s="562">
        <f t="shared" si="405"/>
        <v>168</v>
      </c>
      <c r="AN258" s="471">
        <f t="shared" si="406"/>
        <v>350</v>
      </c>
      <c r="AP258">
        <f t="shared" si="407"/>
        <v>168</v>
      </c>
      <c r="AQ258">
        <f t="shared" si="408"/>
        <v>350</v>
      </c>
      <c r="AS258" s="5">
        <f t="shared" si="334"/>
        <v>2.8571428571428572</v>
      </c>
      <c r="AT258" s="5">
        <f t="shared" si="409"/>
        <v>1.1905273503371632</v>
      </c>
      <c r="AU258" s="5">
        <f t="shared" si="380"/>
        <v>1.666615506805694</v>
      </c>
      <c r="AV258" s="5"/>
      <c r="AW258" s="178">
        <f t="shared" si="381"/>
        <v>0.41668457261800712</v>
      </c>
      <c r="AX258" s="178"/>
      <c r="CD258" s="580">
        <f t="shared" si="410"/>
        <v>-50</v>
      </c>
      <c r="CE258">
        <f t="shared" si="411"/>
        <v>-50</v>
      </c>
    </row>
    <row r="259" spans="5:83" x14ac:dyDescent="0.2">
      <c r="E259" s="175">
        <v>43</v>
      </c>
      <c r="F259" s="222">
        <f t="shared" si="412"/>
        <v>0.17200000000000001</v>
      </c>
      <c r="G259" s="222"/>
      <c r="H259" s="222">
        <f t="shared" si="382"/>
        <v>2.0640000000000001</v>
      </c>
      <c r="I259" s="558">
        <f t="shared" si="383"/>
        <v>26.4</v>
      </c>
      <c r="J259" s="453">
        <f t="shared" si="384"/>
        <v>24.5</v>
      </c>
      <c r="K259" s="453">
        <f t="shared" si="385"/>
        <v>50.9</v>
      </c>
      <c r="L259" s="453"/>
      <c r="M259" s="222">
        <f t="shared" si="386"/>
        <v>0.48133595284872299</v>
      </c>
      <c r="N259" s="177">
        <f t="shared" si="387"/>
        <v>8.7521316306483303</v>
      </c>
      <c r="O259" s="177">
        <f t="shared" si="333"/>
        <v>2.0640000000000001</v>
      </c>
      <c r="P259" s="222">
        <f t="shared" si="388"/>
        <v>0.72934430255402749</v>
      </c>
      <c r="Q259" s="222">
        <f t="shared" si="389"/>
        <v>12</v>
      </c>
      <c r="R259" s="222"/>
      <c r="S259" s="177">
        <f t="shared" si="390"/>
        <v>92.550676364720744</v>
      </c>
      <c r="T259" s="177">
        <f t="shared" si="391"/>
        <v>12</v>
      </c>
      <c r="U259" s="222">
        <f t="shared" si="392"/>
        <v>0.3419509813494776</v>
      </c>
      <c r="V259" s="222">
        <f t="shared" si="393"/>
        <v>1.0880258497483377</v>
      </c>
      <c r="W259" s="222">
        <f t="shared" si="394"/>
        <v>1.1724033646267802</v>
      </c>
      <c r="X259" s="202">
        <f t="shared" si="395"/>
        <v>350</v>
      </c>
      <c r="Y259" s="453">
        <f t="shared" si="362"/>
        <v>350</v>
      </c>
      <c r="AA259" s="222">
        <f t="shared" si="396"/>
        <v>0.4322200392927309</v>
      </c>
      <c r="AB259" s="178">
        <f t="shared" si="397"/>
        <v>1.4818972775750774</v>
      </c>
      <c r="AC259" s="178">
        <f t="shared" si="398"/>
        <v>0.22417699483945183</v>
      </c>
      <c r="AD259" s="178"/>
      <c r="AE259" s="178">
        <f t="shared" si="399"/>
        <v>0.99428571428571422</v>
      </c>
      <c r="AF259" s="562">
        <f t="shared" si="400"/>
        <v>596.51208878319483</v>
      </c>
      <c r="AG259" s="545">
        <f t="shared" si="401"/>
        <v>0.10091999999999998</v>
      </c>
      <c r="AI259" s="178">
        <f t="shared" si="402"/>
        <v>0.37859388972001823</v>
      </c>
      <c r="AJ259" s="178">
        <f t="shared" si="403"/>
        <v>0.37859388972001823</v>
      </c>
      <c r="AK259" s="178">
        <f t="shared" si="404"/>
        <v>1.2656251034963097</v>
      </c>
      <c r="AM259" s="562">
        <f t="shared" si="405"/>
        <v>172</v>
      </c>
      <c r="AN259" s="471">
        <f t="shared" si="406"/>
        <v>350</v>
      </c>
      <c r="AP259">
        <f t="shared" si="407"/>
        <v>172</v>
      </c>
      <c r="AQ259">
        <f t="shared" si="408"/>
        <v>350</v>
      </c>
      <c r="AS259" s="5">
        <f t="shared" si="334"/>
        <v>2.8571428571428572</v>
      </c>
      <c r="AT259" s="5">
        <f t="shared" si="409"/>
        <v>1.2046169218364216</v>
      </c>
      <c r="AU259" s="5">
        <f t="shared" si="380"/>
        <v>1.6525259353064357</v>
      </c>
      <c r="AV259" s="5"/>
      <c r="AW259" s="178">
        <f t="shared" si="381"/>
        <v>0.42161592264274755</v>
      </c>
      <c r="AX259" s="178"/>
      <c r="CD259" s="580">
        <f t="shared" si="410"/>
        <v>-50</v>
      </c>
      <c r="CE259">
        <f t="shared" si="411"/>
        <v>-50</v>
      </c>
    </row>
    <row r="260" spans="5:83" x14ac:dyDescent="0.2">
      <c r="E260" s="175">
        <v>44</v>
      </c>
      <c r="F260" s="222">
        <f t="shared" si="412"/>
        <v>0.17600000000000002</v>
      </c>
      <c r="G260" s="222"/>
      <c r="H260" s="222">
        <f t="shared" si="382"/>
        <v>2.1120000000000001</v>
      </c>
      <c r="I260" s="558">
        <f t="shared" si="383"/>
        <v>26.4</v>
      </c>
      <c r="J260" s="453">
        <f t="shared" si="384"/>
        <v>24.5</v>
      </c>
      <c r="K260" s="453">
        <f t="shared" si="385"/>
        <v>50.9</v>
      </c>
      <c r="L260" s="453"/>
      <c r="M260" s="222">
        <f t="shared" si="386"/>
        <v>0.48133595284872299</v>
      </c>
      <c r="N260" s="177">
        <f t="shared" si="387"/>
        <v>8.7521316306483303</v>
      </c>
      <c r="O260" s="177">
        <f t="shared" si="333"/>
        <v>2.1120000000000001</v>
      </c>
      <c r="P260" s="222">
        <f t="shared" si="388"/>
        <v>0.72934430255402749</v>
      </c>
      <c r="Q260" s="222">
        <f t="shared" si="389"/>
        <v>12</v>
      </c>
      <c r="R260" s="222"/>
      <c r="S260" s="177">
        <f t="shared" si="390"/>
        <v>90.149004826644116</v>
      </c>
      <c r="T260" s="177">
        <f t="shared" si="391"/>
        <v>12</v>
      </c>
      <c r="U260" s="222">
        <f t="shared" si="392"/>
        <v>0.34990332975295385</v>
      </c>
      <c r="V260" s="222">
        <f t="shared" si="393"/>
        <v>1.1133287764866715</v>
      </c>
      <c r="W260" s="222">
        <f t="shared" si="394"/>
        <v>1.1996685591529845</v>
      </c>
      <c r="X260" s="202">
        <f t="shared" si="395"/>
        <v>350</v>
      </c>
      <c r="Y260" s="453">
        <f t="shared" si="362"/>
        <v>350</v>
      </c>
      <c r="AA260" s="222">
        <f t="shared" si="396"/>
        <v>0.4322200392927309</v>
      </c>
      <c r="AB260" s="178">
        <f t="shared" si="397"/>
        <v>1.4818972775750774</v>
      </c>
      <c r="AC260" s="178">
        <f t="shared" si="398"/>
        <v>0.22417699483945183</v>
      </c>
      <c r="AD260" s="178"/>
      <c r="AE260" s="178">
        <f t="shared" si="399"/>
        <v>0.99428571428571422</v>
      </c>
      <c r="AF260" s="562">
        <f t="shared" si="400"/>
        <v>610.38446294094354</v>
      </c>
      <c r="AG260" s="545">
        <f t="shared" si="401"/>
        <v>0.10091999999999998</v>
      </c>
      <c r="AI260" s="178">
        <f t="shared" si="402"/>
        <v>0.38297084310253526</v>
      </c>
      <c r="AJ260" s="178">
        <f t="shared" si="403"/>
        <v>0.38297084310253526</v>
      </c>
      <c r="AK260" s="178">
        <f t="shared" si="404"/>
        <v>1.2688672911870631</v>
      </c>
      <c r="AM260" s="562">
        <f t="shared" si="405"/>
        <v>176.00000000000003</v>
      </c>
      <c r="AN260" s="471">
        <f t="shared" si="406"/>
        <v>350</v>
      </c>
      <c r="AP260">
        <f t="shared" si="407"/>
        <v>176.00000000000003</v>
      </c>
      <c r="AQ260">
        <f t="shared" si="408"/>
        <v>350</v>
      </c>
      <c r="AS260" s="5">
        <f t="shared" si="334"/>
        <v>2.8571428571428572</v>
      </c>
      <c r="AT260" s="5">
        <f t="shared" si="409"/>
        <v>1.218543591689885</v>
      </c>
      <c r="AU260" s="5">
        <f t="shared" si="380"/>
        <v>1.6385992654529722</v>
      </c>
      <c r="AV260" s="5"/>
      <c r="AW260" s="178">
        <f t="shared" si="381"/>
        <v>0.42649025709145977</v>
      </c>
      <c r="AX260" s="178"/>
      <c r="CD260" s="580">
        <f t="shared" si="410"/>
        <v>-50</v>
      </c>
      <c r="CE260">
        <f t="shared" si="411"/>
        <v>-50</v>
      </c>
    </row>
    <row r="261" spans="5:83" x14ac:dyDescent="0.2">
      <c r="E261" s="175">
        <v>45</v>
      </c>
      <c r="F261" s="222">
        <f t="shared" si="412"/>
        <v>0.18000000000000002</v>
      </c>
      <c r="G261" s="222"/>
      <c r="H261" s="222">
        <f t="shared" si="382"/>
        <v>2.16</v>
      </c>
      <c r="I261" s="558">
        <f t="shared" si="383"/>
        <v>26.4</v>
      </c>
      <c r="J261" s="453">
        <f t="shared" si="384"/>
        <v>24.5</v>
      </c>
      <c r="K261" s="453">
        <f t="shared" si="385"/>
        <v>50.9</v>
      </c>
      <c r="L261" s="453"/>
      <c r="M261" s="222">
        <f t="shared" si="386"/>
        <v>0.48133595284872299</v>
      </c>
      <c r="N261" s="177">
        <f t="shared" si="387"/>
        <v>8.7521316306483303</v>
      </c>
      <c r="O261" s="177">
        <f t="shared" si="333"/>
        <v>2.16</v>
      </c>
      <c r="P261" s="222">
        <f t="shared" si="388"/>
        <v>0.72934430255402749</v>
      </c>
      <c r="Q261" s="222">
        <f t="shared" si="389"/>
        <v>12</v>
      </c>
      <c r="R261" s="222"/>
      <c r="S261" s="177">
        <f t="shared" si="390"/>
        <v>87.854122348784841</v>
      </c>
      <c r="T261" s="177">
        <f t="shared" si="391"/>
        <v>12</v>
      </c>
      <c r="U261" s="222">
        <f t="shared" si="392"/>
        <v>0.35785567815643005</v>
      </c>
      <c r="V261" s="222">
        <f t="shared" si="393"/>
        <v>1.1386317032250046</v>
      </c>
      <c r="W261" s="222">
        <f t="shared" si="394"/>
        <v>1.2269337536791887</v>
      </c>
      <c r="X261" s="202">
        <f t="shared" si="395"/>
        <v>350</v>
      </c>
      <c r="Y261" s="453">
        <f t="shared" si="362"/>
        <v>350</v>
      </c>
      <c r="AA261" s="222">
        <f t="shared" si="396"/>
        <v>0.4322200392927309</v>
      </c>
      <c r="AB261" s="178">
        <f t="shared" si="397"/>
        <v>1.4818972775750774</v>
      </c>
      <c r="AC261" s="178">
        <f t="shared" si="398"/>
        <v>0.22417699483945183</v>
      </c>
      <c r="AD261" s="178"/>
      <c r="AE261" s="178">
        <f t="shared" si="399"/>
        <v>0.99428571428571422</v>
      </c>
      <c r="AF261" s="562">
        <f t="shared" si="400"/>
        <v>624.25683709869236</v>
      </c>
      <c r="AG261" s="545">
        <f t="shared" si="401"/>
        <v>0.10091999999999998</v>
      </c>
      <c r="AI261" s="178">
        <f t="shared" si="402"/>
        <v>0.3872983346207417</v>
      </c>
      <c r="AJ261" s="178">
        <f t="shared" si="403"/>
        <v>0.3872983346207417</v>
      </c>
      <c r="AK261" s="178">
        <f t="shared" si="404"/>
        <v>1.2720728404598087</v>
      </c>
      <c r="AM261" s="562">
        <f t="shared" si="405"/>
        <v>180.00000000000003</v>
      </c>
      <c r="AN261" s="471">
        <f t="shared" si="406"/>
        <v>350</v>
      </c>
      <c r="AP261">
        <f t="shared" si="407"/>
        <v>180.00000000000003</v>
      </c>
      <c r="AQ261">
        <f t="shared" si="408"/>
        <v>350</v>
      </c>
      <c r="AS261" s="5">
        <f t="shared" si="334"/>
        <v>2.8571428571428572</v>
      </c>
      <c r="AT261" s="5">
        <f t="shared" si="409"/>
        <v>1.2323128828841781</v>
      </c>
      <c r="AU261" s="5">
        <f t="shared" si="380"/>
        <v>1.6248299742586791</v>
      </c>
      <c r="AV261" s="5"/>
      <c r="AW261" s="178">
        <f t="shared" si="381"/>
        <v>0.4313095090094623</v>
      </c>
      <c r="AX261" s="178"/>
      <c r="CD261" s="580">
        <f t="shared" si="410"/>
        <v>-50</v>
      </c>
      <c r="CE261">
        <f t="shared" si="411"/>
        <v>-50</v>
      </c>
    </row>
    <row r="262" spans="5:83" x14ac:dyDescent="0.2">
      <c r="E262" s="175">
        <v>46</v>
      </c>
      <c r="F262" s="222">
        <f t="shared" si="412"/>
        <v>0.18400000000000002</v>
      </c>
      <c r="G262" s="222"/>
      <c r="H262" s="222">
        <f t="shared" si="382"/>
        <v>2.2080000000000002</v>
      </c>
      <c r="I262" s="558">
        <f t="shared" si="383"/>
        <v>26.4</v>
      </c>
      <c r="J262" s="453">
        <f t="shared" si="384"/>
        <v>24.5</v>
      </c>
      <c r="K262" s="453">
        <f t="shared" si="385"/>
        <v>50.9</v>
      </c>
      <c r="L262" s="453"/>
      <c r="M262" s="222">
        <f t="shared" si="386"/>
        <v>0.48133595284872299</v>
      </c>
      <c r="N262" s="177">
        <f t="shared" si="387"/>
        <v>8.7521316306483303</v>
      </c>
      <c r="O262" s="177">
        <f t="shared" ref="O262:O316" si="413">T262*F262</f>
        <v>2.2080000000000002</v>
      </c>
      <c r="P262" s="222">
        <f t="shared" si="388"/>
        <v>0.72934430255402749</v>
      </c>
      <c r="Q262" s="222">
        <f t="shared" si="389"/>
        <v>12</v>
      </c>
      <c r="R262" s="222"/>
      <c r="S262" s="177">
        <f t="shared" si="390"/>
        <v>85.659064883962387</v>
      </c>
      <c r="T262" s="177">
        <f t="shared" si="391"/>
        <v>12</v>
      </c>
      <c r="U262" s="222">
        <f t="shared" si="392"/>
        <v>0.3658080265599063</v>
      </c>
      <c r="V262" s="222">
        <f t="shared" si="393"/>
        <v>1.1639346299633384</v>
      </c>
      <c r="W262" s="222">
        <f t="shared" si="394"/>
        <v>1.254198948205393</v>
      </c>
      <c r="X262" s="202">
        <f t="shared" si="395"/>
        <v>350</v>
      </c>
      <c r="Y262" s="453">
        <f t="shared" si="362"/>
        <v>350</v>
      </c>
      <c r="AA262" s="222">
        <f t="shared" si="396"/>
        <v>0.4322200392927309</v>
      </c>
      <c r="AB262" s="178">
        <f t="shared" si="397"/>
        <v>1.4818972775750774</v>
      </c>
      <c r="AC262" s="178">
        <f t="shared" si="398"/>
        <v>0.22417699483945183</v>
      </c>
      <c r="AD262" s="178"/>
      <c r="AE262" s="178">
        <f t="shared" si="399"/>
        <v>0.99428571428571422</v>
      </c>
      <c r="AF262" s="562">
        <f t="shared" si="400"/>
        <v>638.12921125644095</v>
      </c>
      <c r="AG262" s="545">
        <f t="shared" si="401"/>
        <v>0.10091999999999998</v>
      </c>
      <c r="AI262" s="178">
        <f t="shared" si="402"/>
        <v>0.39157800414902438</v>
      </c>
      <c r="AJ262" s="178">
        <f t="shared" si="403"/>
        <v>0.39157800414902438</v>
      </c>
      <c r="AK262" s="178">
        <f t="shared" si="404"/>
        <v>1.2752429660363143</v>
      </c>
      <c r="AM262" s="562">
        <f t="shared" si="405"/>
        <v>184.00000000000003</v>
      </c>
      <c r="AN262" s="471">
        <f t="shared" si="406"/>
        <v>350</v>
      </c>
      <c r="AP262">
        <f t="shared" si="407"/>
        <v>184.00000000000003</v>
      </c>
      <c r="AQ262">
        <f t="shared" si="408"/>
        <v>350</v>
      </c>
      <c r="AS262" s="5">
        <f t="shared" si="334"/>
        <v>2.8571428571428572</v>
      </c>
      <c r="AT262" s="5">
        <f t="shared" si="409"/>
        <v>1.2459300132014413</v>
      </c>
      <c r="AU262" s="5">
        <f t="shared" si="380"/>
        <v>1.611212843941416</v>
      </c>
      <c r="AV262" s="5"/>
      <c r="AW262" s="178">
        <f t="shared" si="381"/>
        <v>0.43607550462050443</v>
      </c>
      <c r="AX262" s="178"/>
      <c r="CD262" s="580">
        <f t="shared" si="410"/>
        <v>-50</v>
      </c>
      <c r="CE262">
        <f t="shared" si="411"/>
        <v>-50</v>
      </c>
    </row>
    <row r="263" spans="5:83" x14ac:dyDescent="0.2">
      <c r="E263" s="175">
        <v>47</v>
      </c>
      <c r="F263" s="222">
        <f t="shared" si="412"/>
        <v>0.188</v>
      </c>
      <c r="G263" s="222"/>
      <c r="H263" s="222">
        <f t="shared" si="382"/>
        <v>2.2560000000000002</v>
      </c>
      <c r="I263" s="558">
        <f t="shared" si="383"/>
        <v>26.4</v>
      </c>
      <c r="J263" s="453">
        <f t="shared" si="384"/>
        <v>24.5</v>
      </c>
      <c r="K263" s="453">
        <f t="shared" si="385"/>
        <v>50.9</v>
      </c>
      <c r="L263" s="453"/>
      <c r="M263" s="222">
        <f t="shared" si="386"/>
        <v>0.48133595284872299</v>
      </c>
      <c r="N263" s="177">
        <f t="shared" si="387"/>
        <v>8.7521316306483303</v>
      </c>
      <c r="O263" s="177">
        <f t="shared" si="413"/>
        <v>2.2560000000000002</v>
      </c>
      <c r="P263" s="222">
        <f t="shared" si="388"/>
        <v>0.72934430255402749</v>
      </c>
      <c r="Q263" s="222">
        <f t="shared" si="389"/>
        <v>12</v>
      </c>
      <c r="R263" s="222"/>
      <c r="S263" s="177">
        <f t="shared" si="390"/>
        <v>83.557461075510901</v>
      </c>
      <c r="T263" s="177">
        <f t="shared" si="391"/>
        <v>12</v>
      </c>
      <c r="U263" s="222">
        <f t="shared" si="392"/>
        <v>0.37376037496338255</v>
      </c>
      <c r="V263" s="222">
        <f t="shared" si="393"/>
        <v>1.1892375567016717</v>
      </c>
      <c r="W263" s="222">
        <f t="shared" si="394"/>
        <v>1.2814641427315974</v>
      </c>
      <c r="X263" s="202">
        <f t="shared" si="395"/>
        <v>350</v>
      </c>
      <c r="Y263" s="453">
        <f t="shared" si="362"/>
        <v>350</v>
      </c>
      <c r="AA263" s="222">
        <f t="shared" si="396"/>
        <v>0.4322200392927309</v>
      </c>
      <c r="AB263" s="178">
        <f t="shared" si="397"/>
        <v>1.4818972775750774</v>
      </c>
      <c r="AC263" s="178">
        <f t="shared" si="398"/>
        <v>0.22417699483945183</v>
      </c>
      <c r="AD263" s="178"/>
      <c r="AE263" s="178">
        <f t="shared" si="399"/>
        <v>0.99428571428571422</v>
      </c>
      <c r="AF263" s="562">
        <f t="shared" si="400"/>
        <v>652.00158541418966</v>
      </c>
      <c r="AG263" s="545">
        <f t="shared" si="401"/>
        <v>0.10091999999999998</v>
      </c>
      <c r="AI263" s="178">
        <f t="shared" si="402"/>
        <v>0.39581140290126393</v>
      </c>
      <c r="AJ263" s="178">
        <f t="shared" si="403"/>
        <v>0.39581140290126393</v>
      </c>
      <c r="AK263" s="178">
        <f t="shared" si="404"/>
        <v>1.2783788169638992</v>
      </c>
      <c r="AM263" s="562">
        <f t="shared" si="405"/>
        <v>188</v>
      </c>
      <c r="AN263" s="471">
        <f t="shared" si="406"/>
        <v>350</v>
      </c>
      <c r="AP263">
        <f t="shared" si="407"/>
        <v>188</v>
      </c>
      <c r="AQ263">
        <f t="shared" si="408"/>
        <v>350</v>
      </c>
      <c r="AS263" s="5">
        <f t="shared" ref="AS263:AS316" si="414">1/AN263*1000</f>
        <v>2.8571428571428572</v>
      </c>
      <c r="AT263" s="5">
        <f t="shared" si="409"/>
        <v>1.2593999183222033</v>
      </c>
      <c r="AU263" s="5">
        <f t="shared" si="380"/>
        <v>1.5977429388206539</v>
      </c>
      <c r="AV263" s="5"/>
      <c r="AW263" s="178">
        <f t="shared" si="381"/>
        <v>0.44078997141277115</v>
      </c>
      <c r="AX263" s="178"/>
      <c r="CD263" s="580">
        <f t="shared" si="410"/>
        <v>-50</v>
      </c>
      <c r="CE263">
        <f t="shared" si="411"/>
        <v>-50</v>
      </c>
    </row>
    <row r="264" spans="5:83" x14ac:dyDescent="0.2">
      <c r="E264" s="175">
        <v>48</v>
      </c>
      <c r="F264" s="222">
        <f t="shared" si="412"/>
        <v>0.192</v>
      </c>
      <c r="G264" s="222"/>
      <c r="H264" s="222">
        <f t="shared" si="382"/>
        <v>2.3040000000000003</v>
      </c>
      <c r="I264" s="558">
        <f t="shared" si="383"/>
        <v>26.4</v>
      </c>
      <c r="J264" s="453">
        <f t="shared" si="384"/>
        <v>24.5</v>
      </c>
      <c r="K264" s="453">
        <f t="shared" si="385"/>
        <v>50.9</v>
      </c>
      <c r="L264" s="453"/>
      <c r="M264" s="222">
        <f t="shared" si="386"/>
        <v>0.48133595284872299</v>
      </c>
      <c r="N264" s="177">
        <f t="shared" si="387"/>
        <v>8.7521316306483303</v>
      </c>
      <c r="O264" s="177">
        <f t="shared" si="413"/>
        <v>2.3040000000000003</v>
      </c>
      <c r="P264" s="222">
        <f t="shared" si="388"/>
        <v>0.72934430255402749</v>
      </c>
      <c r="Q264" s="222">
        <f t="shared" si="389"/>
        <v>12</v>
      </c>
      <c r="R264" s="222"/>
      <c r="S264" s="177">
        <f t="shared" si="390"/>
        <v>81.543470518769027</v>
      </c>
      <c r="T264" s="177">
        <f t="shared" si="391"/>
        <v>12</v>
      </c>
      <c r="U264" s="222">
        <f t="shared" si="392"/>
        <v>0.38171272336685874</v>
      </c>
      <c r="V264" s="222">
        <f t="shared" si="393"/>
        <v>1.2145404834400051</v>
      </c>
      <c r="W264" s="222">
        <f t="shared" si="394"/>
        <v>1.3087293372578011</v>
      </c>
      <c r="X264" s="202">
        <f t="shared" si="395"/>
        <v>350</v>
      </c>
      <c r="Y264" s="453">
        <f t="shared" si="362"/>
        <v>350</v>
      </c>
      <c r="AA264" s="222">
        <f t="shared" si="396"/>
        <v>0.4322200392927309</v>
      </c>
      <c r="AB264" s="178">
        <f t="shared" si="397"/>
        <v>1.4818972775750774</v>
      </c>
      <c r="AC264" s="178">
        <f t="shared" si="398"/>
        <v>0.22417699483945183</v>
      </c>
      <c r="AD264" s="178"/>
      <c r="AE264" s="178">
        <f t="shared" si="399"/>
        <v>0.99428571428571422</v>
      </c>
      <c r="AF264" s="562">
        <f t="shared" si="400"/>
        <v>665.87395957193837</v>
      </c>
      <c r="AG264" s="545">
        <f t="shared" si="401"/>
        <v>0.10091999999999998</v>
      </c>
      <c r="AI264" s="178">
        <f t="shared" si="402"/>
        <v>0.4</v>
      </c>
      <c r="AJ264" s="178">
        <f t="shared" si="403"/>
        <v>0.4</v>
      </c>
      <c r="AK264" s="178">
        <f t="shared" si="404"/>
        <v>1.2814814814814814</v>
      </c>
      <c r="AM264" s="562">
        <f t="shared" si="405"/>
        <v>192</v>
      </c>
      <c r="AN264" s="471">
        <f t="shared" si="406"/>
        <v>350</v>
      </c>
      <c r="AP264">
        <f t="shared" si="407"/>
        <v>192</v>
      </c>
      <c r="AQ264">
        <f t="shared" si="408"/>
        <v>350</v>
      </c>
      <c r="AS264" s="5">
        <f t="shared" si="414"/>
        <v>2.8571428571428572</v>
      </c>
      <c r="AT264" s="5">
        <f t="shared" si="409"/>
        <v>1.2727272727272725</v>
      </c>
      <c r="AU264" s="5">
        <f t="shared" si="380"/>
        <v>1.5844155844155847</v>
      </c>
      <c r="AV264" s="5"/>
      <c r="AW264" s="178">
        <f t="shared" si="381"/>
        <v>0.44545454545454538</v>
      </c>
      <c r="AX264" s="178"/>
      <c r="CD264" s="580">
        <f t="shared" si="410"/>
        <v>-50</v>
      </c>
      <c r="CE264">
        <f t="shared" si="411"/>
        <v>-50</v>
      </c>
    </row>
    <row r="265" spans="5:83" x14ac:dyDescent="0.2">
      <c r="E265" s="175">
        <v>49</v>
      </c>
      <c r="F265" s="222">
        <f t="shared" si="412"/>
        <v>0.19600000000000001</v>
      </c>
      <c r="G265" s="222"/>
      <c r="H265" s="222">
        <f t="shared" si="382"/>
        <v>2.3520000000000003</v>
      </c>
      <c r="I265" s="558">
        <f t="shared" si="383"/>
        <v>26.4</v>
      </c>
      <c r="J265" s="453">
        <f t="shared" si="384"/>
        <v>24.5</v>
      </c>
      <c r="K265" s="453">
        <f t="shared" si="385"/>
        <v>50.9</v>
      </c>
      <c r="L265" s="453"/>
      <c r="M265" s="222">
        <f t="shared" si="386"/>
        <v>0.48133595284872299</v>
      </c>
      <c r="N265" s="177">
        <f t="shared" si="387"/>
        <v>8.7521316306483303</v>
      </c>
      <c r="O265" s="177">
        <f t="shared" si="413"/>
        <v>2.3520000000000003</v>
      </c>
      <c r="P265" s="222">
        <f t="shared" si="388"/>
        <v>0.72934430255402749</v>
      </c>
      <c r="Q265" s="222">
        <f t="shared" si="389"/>
        <v>12</v>
      </c>
      <c r="R265" s="222"/>
      <c r="S265" s="177">
        <f t="shared" si="390"/>
        <v>79.611729582388762</v>
      </c>
      <c r="T265" s="177">
        <f t="shared" si="391"/>
        <v>12</v>
      </c>
      <c r="U265" s="222">
        <f t="shared" si="392"/>
        <v>0.38966507177033499</v>
      </c>
      <c r="V265" s="222">
        <f t="shared" si="393"/>
        <v>1.2398434101783387</v>
      </c>
      <c r="W265" s="222">
        <f t="shared" si="394"/>
        <v>1.3359945317840056</v>
      </c>
      <c r="X265" s="202">
        <f t="shared" si="395"/>
        <v>350</v>
      </c>
      <c r="Y265" s="453">
        <f t="shared" si="362"/>
        <v>350</v>
      </c>
      <c r="AA265" s="222">
        <f t="shared" si="396"/>
        <v>0.4322200392927309</v>
      </c>
      <c r="AB265" s="178">
        <f t="shared" si="397"/>
        <v>1.4818972775750774</v>
      </c>
      <c r="AC265" s="178">
        <f t="shared" si="398"/>
        <v>0.22417699483945183</v>
      </c>
      <c r="AD265" s="178"/>
      <c r="AE265" s="178">
        <f t="shared" si="399"/>
        <v>0.99428571428571422</v>
      </c>
      <c r="AF265" s="562">
        <f t="shared" si="400"/>
        <v>679.74633372968708</v>
      </c>
      <c r="AG265" s="545">
        <f t="shared" si="401"/>
        <v>0.10091999999999998</v>
      </c>
      <c r="AI265" s="178">
        <f t="shared" si="402"/>
        <v>0.40414518843273806</v>
      </c>
      <c r="AJ265" s="178">
        <f t="shared" si="403"/>
        <v>0.40414518843273806</v>
      </c>
      <c r="AK265" s="178">
        <f t="shared" si="404"/>
        <v>1.2845519914316579</v>
      </c>
      <c r="AM265" s="562">
        <f t="shared" si="405"/>
        <v>196</v>
      </c>
      <c r="AN265" s="471">
        <f t="shared" si="406"/>
        <v>350</v>
      </c>
      <c r="AP265">
        <f t="shared" si="407"/>
        <v>196</v>
      </c>
      <c r="AQ265">
        <f t="shared" si="408"/>
        <v>350</v>
      </c>
      <c r="AS265" s="5">
        <f t="shared" si="414"/>
        <v>2.8571428571428572</v>
      </c>
      <c r="AT265" s="5">
        <f t="shared" si="409"/>
        <v>1.2859165086496211</v>
      </c>
      <c r="AU265" s="5">
        <f t="shared" si="380"/>
        <v>1.5712263484932361</v>
      </c>
      <c r="AV265" s="5"/>
      <c r="AW265" s="178">
        <f t="shared" si="381"/>
        <v>0.45007077802736739</v>
      </c>
      <c r="AX265" s="178"/>
      <c r="CD265" s="580">
        <f t="shared" si="410"/>
        <v>-50</v>
      </c>
      <c r="CE265">
        <f t="shared" si="411"/>
        <v>-50</v>
      </c>
    </row>
    <row r="266" spans="5:83" x14ac:dyDescent="0.2">
      <c r="E266" s="175">
        <v>50</v>
      </c>
      <c r="F266" s="222">
        <f t="shared" si="412"/>
        <v>0.2</v>
      </c>
      <c r="G266" s="222"/>
      <c r="H266" s="222">
        <f t="shared" si="382"/>
        <v>2.4000000000000004</v>
      </c>
      <c r="I266" s="558">
        <f t="shared" si="383"/>
        <v>26.4</v>
      </c>
      <c r="J266" s="453">
        <f t="shared" si="384"/>
        <v>24.5</v>
      </c>
      <c r="K266" s="453">
        <f t="shared" si="385"/>
        <v>50.9</v>
      </c>
      <c r="L266" s="453"/>
      <c r="M266" s="222">
        <f t="shared" si="386"/>
        <v>0.48133595284872299</v>
      </c>
      <c r="N266" s="177">
        <f t="shared" si="387"/>
        <v>8.7521316306483303</v>
      </c>
      <c r="O266" s="177">
        <f t="shared" si="413"/>
        <v>2.4000000000000004</v>
      </c>
      <c r="P266" s="222">
        <f t="shared" si="388"/>
        <v>0.72934430255402749</v>
      </c>
      <c r="Q266" s="222">
        <f t="shared" si="389"/>
        <v>12</v>
      </c>
      <c r="R266" s="222"/>
      <c r="S266" s="177">
        <f t="shared" si="390"/>
        <v>77.757303731088754</v>
      </c>
      <c r="T266" s="177">
        <f t="shared" si="391"/>
        <v>12</v>
      </c>
      <c r="U266" s="222">
        <f t="shared" si="392"/>
        <v>0.39761742017381124</v>
      </c>
      <c r="V266" s="222">
        <f t="shared" si="393"/>
        <v>1.265146336916672</v>
      </c>
      <c r="W266" s="222">
        <f t="shared" si="394"/>
        <v>1.36325972631021</v>
      </c>
      <c r="X266" s="202">
        <f t="shared" si="395"/>
        <v>350</v>
      </c>
      <c r="Y266" s="453">
        <f t="shared" si="362"/>
        <v>350</v>
      </c>
      <c r="AA266" s="222">
        <f t="shared" si="396"/>
        <v>0.4322200392927309</v>
      </c>
      <c r="AB266" s="178">
        <f t="shared" si="397"/>
        <v>1.4818972775750774</v>
      </c>
      <c r="AC266" s="178">
        <f t="shared" si="398"/>
        <v>0.22417699483945183</v>
      </c>
      <c r="AD266" s="178"/>
      <c r="AE266" s="178">
        <f t="shared" si="399"/>
        <v>0.99428571428571422</v>
      </c>
      <c r="AF266" s="562">
        <f t="shared" si="400"/>
        <v>693.61870788743579</v>
      </c>
      <c r="AG266" s="545">
        <f t="shared" si="401"/>
        <v>0.10091999999999998</v>
      </c>
      <c r="AI266" s="178">
        <f t="shared" si="402"/>
        <v>0.40824829046386302</v>
      </c>
      <c r="AJ266" s="178">
        <f t="shared" si="403"/>
        <v>0.40824829046386302</v>
      </c>
      <c r="AK266" s="178">
        <f t="shared" si="404"/>
        <v>1.2875913262695282</v>
      </c>
      <c r="AM266" s="562">
        <f t="shared" si="405"/>
        <v>200</v>
      </c>
      <c r="AN266" s="471">
        <f t="shared" si="406"/>
        <v>350</v>
      </c>
      <c r="AP266">
        <f t="shared" si="407"/>
        <v>200</v>
      </c>
      <c r="AQ266">
        <f t="shared" si="408"/>
        <v>350</v>
      </c>
      <c r="AS266" s="5">
        <f t="shared" si="414"/>
        <v>2.8571428571428572</v>
      </c>
      <c r="AT266" s="5">
        <f t="shared" si="409"/>
        <v>1.2989718332941096</v>
      </c>
      <c r="AU266" s="5">
        <f t="shared" si="380"/>
        <v>1.5581710238487476</v>
      </c>
      <c r="AV266" s="5"/>
      <c r="AW266" s="178">
        <f t="shared" si="381"/>
        <v>0.45464014165293837</v>
      </c>
      <c r="AX266" s="178"/>
      <c r="CD266" s="580">
        <f t="shared" si="410"/>
        <v>-50</v>
      </c>
      <c r="CE266">
        <f t="shared" si="411"/>
        <v>-50</v>
      </c>
    </row>
    <row r="267" spans="5:83" x14ac:dyDescent="0.2">
      <c r="E267" s="175">
        <v>51</v>
      </c>
      <c r="F267" s="222">
        <f t="shared" si="412"/>
        <v>0.20400000000000001</v>
      </c>
      <c r="G267" s="222"/>
      <c r="H267" s="222">
        <f t="shared" si="382"/>
        <v>2.4480000000000004</v>
      </c>
      <c r="I267" s="558">
        <f t="shared" si="383"/>
        <v>26.4</v>
      </c>
      <c r="J267" s="453">
        <f t="shared" si="384"/>
        <v>24.5</v>
      </c>
      <c r="K267" s="453">
        <f t="shared" si="385"/>
        <v>50.9</v>
      </c>
      <c r="L267" s="453"/>
      <c r="M267" s="222">
        <f t="shared" si="386"/>
        <v>0.48133595284872299</v>
      </c>
      <c r="N267" s="177">
        <f t="shared" si="387"/>
        <v>8.7521316306483303</v>
      </c>
      <c r="O267" s="177">
        <f t="shared" si="413"/>
        <v>2.4480000000000004</v>
      </c>
      <c r="P267" s="222">
        <f t="shared" si="388"/>
        <v>0.72934430255402749</v>
      </c>
      <c r="Q267" s="222">
        <f t="shared" si="389"/>
        <v>12</v>
      </c>
      <c r="R267" s="222"/>
      <c r="S267" s="177">
        <f t="shared" si="390"/>
        <v>75.975645457496825</v>
      </c>
      <c r="T267" s="177">
        <f t="shared" si="391"/>
        <v>12</v>
      </c>
      <c r="U267" s="222">
        <f t="shared" si="392"/>
        <v>0.40556976857728744</v>
      </c>
      <c r="V267" s="222">
        <f t="shared" si="393"/>
        <v>1.2904492636550053</v>
      </c>
      <c r="W267" s="222">
        <f t="shared" si="394"/>
        <v>1.3905249208364139</v>
      </c>
      <c r="X267" s="202">
        <f t="shared" si="395"/>
        <v>350</v>
      </c>
      <c r="Y267" s="453">
        <f t="shared" si="362"/>
        <v>350</v>
      </c>
      <c r="AA267" s="222">
        <f t="shared" si="396"/>
        <v>0.4322200392927309</v>
      </c>
      <c r="AB267" s="178">
        <f t="shared" si="397"/>
        <v>1.4818972775750774</v>
      </c>
      <c r="AC267" s="178">
        <f t="shared" si="398"/>
        <v>0.22417699483945183</v>
      </c>
      <c r="AD267" s="178"/>
      <c r="AE267" s="178">
        <f t="shared" si="399"/>
        <v>0.99428571428571422</v>
      </c>
      <c r="AF267" s="562">
        <f t="shared" si="400"/>
        <v>707.49108204518461</v>
      </c>
      <c r="AG267" s="545">
        <f t="shared" si="401"/>
        <v>0.10091999999999998</v>
      </c>
      <c r="AI267" s="178">
        <f t="shared" si="402"/>
        <v>0.41231056256176607</v>
      </c>
      <c r="AJ267" s="178">
        <f t="shared" si="403"/>
        <v>0.41231056256176607</v>
      </c>
      <c r="AK267" s="178">
        <f t="shared" si="404"/>
        <v>1.2906004167124192</v>
      </c>
      <c r="AM267" s="562">
        <f t="shared" si="405"/>
        <v>204.00000000000003</v>
      </c>
      <c r="AN267" s="471">
        <f t="shared" si="406"/>
        <v>350</v>
      </c>
      <c r="AP267">
        <f t="shared" si="407"/>
        <v>204.00000000000003</v>
      </c>
      <c r="AQ267">
        <f t="shared" si="408"/>
        <v>350</v>
      </c>
      <c r="AS267" s="5">
        <f t="shared" si="414"/>
        <v>2.8571428571428572</v>
      </c>
      <c r="AT267" s="5">
        <f t="shared" si="409"/>
        <v>1.3118972445147101</v>
      </c>
      <c r="AU267" s="5">
        <f t="shared" si="380"/>
        <v>1.5452456126281471</v>
      </c>
      <c r="AV267" s="5"/>
      <c r="AW267" s="178">
        <f t="shared" si="381"/>
        <v>0.45916403558014851</v>
      </c>
      <c r="AX267" s="178"/>
      <c r="CD267" s="580">
        <f t="shared" si="410"/>
        <v>-50</v>
      </c>
      <c r="CE267">
        <f t="shared" si="411"/>
        <v>-50</v>
      </c>
    </row>
    <row r="268" spans="5:83" x14ac:dyDescent="0.2">
      <c r="E268" s="175">
        <v>52</v>
      </c>
      <c r="F268" s="222">
        <f t="shared" si="412"/>
        <v>0.20800000000000002</v>
      </c>
      <c r="G268" s="222"/>
      <c r="H268" s="222">
        <f t="shared" si="382"/>
        <v>2.4960000000000004</v>
      </c>
      <c r="I268" s="558">
        <f t="shared" si="383"/>
        <v>26.4</v>
      </c>
      <c r="J268" s="453">
        <f t="shared" si="384"/>
        <v>24.5</v>
      </c>
      <c r="K268" s="453">
        <f t="shared" si="385"/>
        <v>50.9</v>
      </c>
      <c r="L268" s="453"/>
      <c r="M268" s="222">
        <f t="shared" si="386"/>
        <v>0.48133595284872299</v>
      </c>
      <c r="N268" s="177">
        <f t="shared" si="387"/>
        <v>8.7521316306483303</v>
      </c>
      <c r="O268" s="177">
        <f t="shared" si="413"/>
        <v>2.4960000000000004</v>
      </c>
      <c r="P268" s="222">
        <f t="shared" si="388"/>
        <v>0.72934430255402749</v>
      </c>
      <c r="Q268" s="222">
        <f t="shared" si="389"/>
        <v>12</v>
      </c>
      <c r="R268" s="222"/>
      <c r="S268" s="177">
        <f t="shared" si="390"/>
        <v>74.26255706801237</v>
      </c>
      <c r="T268" s="177">
        <f t="shared" si="391"/>
        <v>12</v>
      </c>
      <c r="U268" s="222">
        <f t="shared" si="392"/>
        <v>0.41352211698076369</v>
      </c>
      <c r="V268" s="222">
        <f t="shared" si="393"/>
        <v>1.3157521903933391</v>
      </c>
      <c r="W268" s="222">
        <f t="shared" si="394"/>
        <v>1.4177901153626185</v>
      </c>
      <c r="X268" s="202">
        <f t="shared" si="395"/>
        <v>350</v>
      </c>
      <c r="Y268" s="453">
        <f t="shared" si="362"/>
        <v>350</v>
      </c>
      <c r="AA268" s="222">
        <f t="shared" si="396"/>
        <v>0.4322200392927309</v>
      </c>
      <c r="AB268" s="178">
        <f t="shared" si="397"/>
        <v>1.4818972775750774</v>
      </c>
      <c r="AC268" s="178">
        <f t="shared" si="398"/>
        <v>0.22417699483945183</v>
      </c>
      <c r="AD268" s="178"/>
      <c r="AE268" s="178">
        <f t="shared" si="399"/>
        <v>0.99428571428571422</v>
      </c>
      <c r="AF268" s="562">
        <f t="shared" si="400"/>
        <v>721.36345620293321</v>
      </c>
      <c r="AG268" s="545">
        <f t="shared" si="401"/>
        <v>0.10091999999999998</v>
      </c>
      <c r="AI268" s="178">
        <f t="shared" si="402"/>
        <v>0.41633319989322659</v>
      </c>
      <c r="AJ268" s="178">
        <f t="shared" si="403"/>
        <v>0.41633319989322659</v>
      </c>
      <c r="AK268" s="178">
        <f t="shared" si="404"/>
        <v>1.2935801480690567</v>
      </c>
      <c r="AM268" s="562">
        <f t="shared" si="405"/>
        <v>208.00000000000003</v>
      </c>
      <c r="AN268" s="471">
        <f t="shared" si="406"/>
        <v>350</v>
      </c>
      <c r="AP268">
        <f t="shared" si="407"/>
        <v>208.00000000000003</v>
      </c>
      <c r="AQ268">
        <f t="shared" si="408"/>
        <v>350</v>
      </c>
      <c r="AS268" s="5">
        <f t="shared" si="414"/>
        <v>2.8571428571428572</v>
      </c>
      <c r="AT268" s="5">
        <f t="shared" si="409"/>
        <v>1.3246965451148118</v>
      </c>
      <c r="AU268" s="5">
        <f t="shared" si="380"/>
        <v>1.5324463120280454</v>
      </c>
      <c r="AV268" s="5"/>
      <c r="AW268" s="178">
        <f t="shared" si="381"/>
        <v>0.46364379079018414</v>
      </c>
      <c r="AX268" s="178"/>
      <c r="CD268" s="580">
        <f t="shared" si="410"/>
        <v>-50</v>
      </c>
      <c r="CE268">
        <f t="shared" si="411"/>
        <v>-50</v>
      </c>
    </row>
    <row r="269" spans="5:83" x14ac:dyDescent="0.2">
      <c r="E269" s="175">
        <v>53</v>
      </c>
      <c r="F269" s="222">
        <f t="shared" si="412"/>
        <v>0.21200000000000002</v>
      </c>
      <c r="G269" s="222"/>
      <c r="H269" s="222">
        <f t="shared" si="382"/>
        <v>2.5440000000000005</v>
      </c>
      <c r="I269" s="558">
        <f t="shared" si="383"/>
        <v>26.4</v>
      </c>
      <c r="J269" s="453">
        <f t="shared" si="384"/>
        <v>24.5</v>
      </c>
      <c r="K269" s="453">
        <f t="shared" si="385"/>
        <v>50.9</v>
      </c>
      <c r="L269" s="453"/>
      <c r="M269" s="222">
        <f t="shared" si="386"/>
        <v>0.48133595284872299</v>
      </c>
      <c r="N269" s="177">
        <f t="shared" si="387"/>
        <v>8.7521316306483303</v>
      </c>
      <c r="O269" s="177">
        <f t="shared" si="413"/>
        <v>2.5440000000000005</v>
      </c>
      <c r="P269" s="222">
        <f t="shared" si="388"/>
        <v>0.72934430255402749</v>
      </c>
      <c r="Q269" s="222">
        <f t="shared" si="389"/>
        <v>12</v>
      </c>
      <c r="R269" s="222"/>
      <c r="S269" s="177">
        <f t="shared" si="390"/>
        <v>72.614157681591294</v>
      </c>
      <c r="T269" s="177">
        <f t="shared" si="391"/>
        <v>12</v>
      </c>
      <c r="U269" s="222">
        <f t="shared" si="392"/>
        <v>0.42147446538423994</v>
      </c>
      <c r="V269" s="222">
        <f t="shared" si="393"/>
        <v>1.3410551171316727</v>
      </c>
      <c r="W269" s="222">
        <f t="shared" si="394"/>
        <v>1.4450553098888226</v>
      </c>
      <c r="X269" s="202">
        <f t="shared" si="395"/>
        <v>350</v>
      </c>
      <c r="Y269" s="453">
        <f t="shared" si="362"/>
        <v>350</v>
      </c>
      <c r="AA269" s="222">
        <f t="shared" si="396"/>
        <v>0.4322200392927309</v>
      </c>
      <c r="AB269" s="178">
        <f t="shared" si="397"/>
        <v>1.4818972775750774</v>
      </c>
      <c r="AC269" s="178">
        <f t="shared" si="398"/>
        <v>0.22417699483945183</v>
      </c>
      <c r="AD269" s="178"/>
      <c r="AE269" s="178">
        <f t="shared" si="399"/>
        <v>0.99428571428571422</v>
      </c>
      <c r="AF269" s="562">
        <f t="shared" si="400"/>
        <v>735.23583036068203</v>
      </c>
      <c r="AG269" s="545">
        <f t="shared" si="401"/>
        <v>0.10091999999999998</v>
      </c>
      <c r="AI269" s="178">
        <f t="shared" si="402"/>
        <v>0.42031734043061642</v>
      </c>
      <c r="AJ269" s="178">
        <f t="shared" si="403"/>
        <v>0.42031734043061642</v>
      </c>
      <c r="AK269" s="178">
        <f t="shared" si="404"/>
        <v>1.296531363281938</v>
      </c>
      <c r="AM269" s="562">
        <f t="shared" si="405"/>
        <v>212.00000000000003</v>
      </c>
      <c r="AN269" s="471">
        <f t="shared" si="406"/>
        <v>350</v>
      </c>
      <c r="AP269">
        <f t="shared" si="407"/>
        <v>212.00000000000003</v>
      </c>
      <c r="AQ269">
        <f t="shared" si="408"/>
        <v>350</v>
      </c>
      <c r="AS269" s="5">
        <f t="shared" si="414"/>
        <v>2.8571428571428572</v>
      </c>
      <c r="AT269" s="5">
        <f t="shared" si="409"/>
        <v>1.3373733559155976</v>
      </c>
      <c r="AU269" s="5">
        <f t="shared" si="380"/>
        <v>1.5197695012272596</v>
      </c>
      <c r="AV269" s="5"/>
      <c r="AW269" s="178">
        <f t="shared" si="381"/>
        <v>0.46808067457045915</v>
      </c>
      <c r="AX269" s="178"/>
      <c r="CD269" s="580">
        <f t="shared" si="410"/>
        <v>-50</v>
      </c>
      <c r="CE269">
        <f t="shared" si="411"/>
        <v>-50</v>
      </c>
    </row>
    <row r="270" spans="5:83" x14ac:dyDescent="0.2">
      <c r="E270" s="175">
        <v>54</v>
      </c>
      <c r="F270" s="222">
        <f t="shared" si="412"/>
        <v>0.21600000000000003</v>
      </c>
      <c r="G270" s="222"/>
      <c r="H270" s="222">
        <f t="shared" si="382"/>
        <v>2.5920000000000005</v>
      </c>
      <c r="I270" s="558">
        <f t="shared" si="383"/>
        <v>26.4</v>
      </c>
      <c r="J270" s="453">
        <f t="shared" si="384"/>
        <v>24.5</v>
      </c>
      <c r="K270" s="453">
        <f t="shared" si="385"/>
        <v>50.9</v>
      </c>
      <c r="L270" s="453"/>
      <c r="M270" s="222">
        <f t="shared" si="386"/>
        <v>0.48133595284872299</v>
      </c>
      <c r="N270" s="177">
        <f t="shared" si="387"/>
        <v>8.7521316306483303</v>
      </c>
      <c r="O270" s="177">
        <f t="shared" si="413"/>
        <v>2.5920000000000005</v>
      </c>
      <c r="P270" s="222">
        <f t="shared" si="388"/>
        <v>0.72934430255402749</v>
      </c>
      <c r="Q270" s="222">
        <f t="shared" si="389"/>
        <v>12</v>
      </c>
      <c r="R270" s="222"/>
      <c r="S270" s="177">
        <f t="shared" si="390"/>
        <v>71.026853895334185</v>
      </c>
      <c r="T270" s="177">
        <f t="shared" si="391"/>
        <v>12</v>
      </c>
      <c r="U270" s="222">
        <f t="shared" si="392"/>
        <v>0.42942681378771613</v>
      </c>
      <c r="V270" s="222">
        <f t="shared" si="393"/>
        <v>1.3663580438700058</v>
      </c>
      <c r="W270" s="222">
        <f t="shared" si="394"/>
        <v>1.4723205044150265</v>
      </c>
      <c r="X270" s="202">
        <f t="shared" si="395"/>
        <v>350</v>
      </c>
      <c r="Y270" s="453">
        <f t="shared" si="362"/>
        <v>350</v>
      </c>
      <c r="AA270" s="222">
        <f t="shared" si="396"/>
        <v>0.4322200392927309</v>
      </c>
      <c r="AB270" s="178">
        <f t="shared" si="397"/>
        <v>1.4818972775750774</v>
      </c>
      <c r="AC270" s="178">
        <f t="shared" si="398"/>
        <v>0.22417699483945183</v>
      </c>
      <c r="AD270" s="178"/>
      <c r="AE270" s="178">
        <f t="shared" si="399"/>
        <v>0.99428571428571422</v>
      </c>
      <c r="AF270" s="562">
        <f t="shared" si="400"/>
        <v>749.10820451843074</v>
      </c>
      <c r="AG270" s="545">
        <f t="shared" si="401"/>
        <v>0.10091999999999998</v>
      </c>
      <c r="AI270" s="178">
        <f t="shared" si="402"/>
        <v>0.42426406871192857</v>
      </c>
      <c r="AJ270" s="178">
        <f t="shared" si="403"/>
        <v>0.42426406871192857</v>
      </c>
      <c r="AK270" s="178">
        <f t="shared" si="404"/>
        <v>1.2994548657125398</v>
      </c>
      <c r="AM270" s="562">
        <f t="shared" si="405"/>
        <v>216.00000000000003</v>
      </c>
      <c r="AN270" s="471">
        <f t="shared" si="406"/>
        <v>350</v>
      </c>
      <c r="AP270">
        <f t="shared" si="407"/>
        <v>216.00000000000003</v>
      </c>
      <c r="AQ270">
        <f t="shared" si="408"/>
        <v>350</v>
      </c>
      <c r="AS270" s="5">
        <f t="shared" si="414"/>
        <v>2.8571428571428572</v>
      </c>
      <c r="AT270" s="5">
        <f t="shared" si="409"/>
        <v>1.3499311277197727</v>
      </c>
      <c r="AU270" s="5">
        <f t="shared" si="380"/>
        <v>1.5072117294230845</v>
      </c>
      <c r="AV270" s="5"/>
      <c r="AW270" s="178">
        <f t="shared" si="381"/>
        <v>0.47247589470192047</v>
      </c>
      <c r="AX270" s="178"/>
      <c r="CD270" s="580">
        <f t="shared" si="410"/>
        <v>-50</v>
      </c>
      <c r="CE270">
        <f t="shared" si="411"/>
        <v>-50</v>
      </c>
    </row>
    <row r="271" spans="5:83" x14ac:dyDescent="0.2">
      <c r="E271" s="175">
        <v>55</v>
      </c>
      <c r="F271" s="222">
        <f t="shared" si="412"/>
        <v>0.22000000000000003</v>
      </c>
      <c r="G271" s="222"/>
      <c r="H271" s="222">
        <f t="shared" si="382"/>
        <v>2.6400000000000006</v>
      </c>
      <c r="I271" s="558">
        <f t="shared" si="383"/>
        <v>26.4</v>
      </c>
      <c r="J271" s="453">
        <f t="shared" si="384"/>
        <v>24.5</v>
      </c>
      <c r="K271" s="453">
        <f t="shared" si="385"/>
        <v>50.9</v>
      </c>
      <c r="L271" s="453"/>
      <c r="M271" s="222">
        <f t="shared" si="386"/>
        <v>0.48133595284872299</v>
      </c>
      <c r="N271" s="177">
        <f t="shared" si="387"/>
        <v>8.7521316306483303</v>
      </c>
      <c r="O271" s="177">
        <f t="shared" si="413"/>
        <v>2.6400000000000006</v>
      </c>
      <c r="P271" s="222">
        <f t="shared" si="388"/>
        <v>0.72934430255402749</v>
      </c>
      <c r="Q271" s="222">
        <f t="shared" si="389"/>
        <v>12</v>
      </c>
      <c r="R271" s="222"/>
      <c r="S271" s="177">
        <f t="shared" si="390"/>
        <v>69.497313650193732</v>
      </c>
      <c r="T271" s="177">
        <f t="shared" si="391"/>
        <v>12</v>
      </c>
      <c r="U271" s="222">
        <f t="shared" si="392"/>
        <v>0.43737916219119238</v>
      </c>
      <c r="V271" s="222">
        <f t="shared" si="393"/>
        <v>1.3916609706083396</v>
      </c>
      <c r="W271" s="222">
        <f t="shared" si="394"/>
        <v>1.4995856989412311</v>
      </c>
      <c r="X271" s="202">
        <f t="shared" si="395"/>
        <v>350</v>
      </c>
      <c r="Y271" s="453">
        <f t="shared" si="362"/>
        <v>345.87156140357638</v>
      </c>
      <c r="AA271" s="222">
        <f t="shared" si="396"/>
        <v>0.4322200392927309</v>
      </c>
      <c r="AB271" s="178">
        <f t="shared" si="397"/>
        <v>1.4818972775750774</v>
      </c>
      <c r="AC271" s="178">
        <f t="shared" si="398"/>
        <v>0.22417699483945183</v>
      </c>
      <c r="AD271" s="178"/>
      <c r="AE271" s="178">
        <f t="shared" si="399"/>
        <v>0.99428571428571422</v>
      </c>
      <c r="AF271" s="562">
        <f t="shared" si="400"/>
        <v>762.98057867617945</v>
      </c>
      <c r="AG271" s="545">
        <f t="shared" si="401"/>
        <v>0.10091999999999998</v>
      </c>
      <c r="AI271" s="178">
        <f t="shared" si="402"/>
        <v>0.4281744192888377</v>
      </c>
      <c r="AJ271" s="178">
        <f t="shared" si="403"/>
        <v>0.4281744192888377</v>
      </c>
      <c r="AK271" s="178">
        <f t="shared" si="404"/>
        <v>1.3023514216954353</v>
      </c>
      <c r="AM271" s="562">
        <f t="shared" si="405"/>
        <v>220.00000000000003</v>
      </c>
      <c r="AN271" s="471">
        <f t="shared" si="406"/>
        <v>345.87156140357638</v>
      </c>
      <c r="AP271">
        <f t="shared" si="407"/>
        <v>220.00000000000003</v>
      </c>
      <c r="AQ271">
        <f t="shared" si="408"/>
        <v>345.87156140357638</v>
      </c>
      <c r="AS271" s="5">
        <f t="shared" si="414"/>
        <v>2.8912466695495702</v>
      </c>
      <c r="AT271" s="5">
        <f t="shared" si="409"/>
        <v>1.3623731522826656</v>
      </c>
      <c r="AU271" s="5">
        <f t="shared" si="380"/>
        <v>1.5288735172669046</v>
      </c>
      <c r="AV271" s="5"/>
      <c r="AW271" s="178">
        <f t="shared" si="381"/>
        <v>0.47120612939431794</v>
      </c>
      <c r="AX271" s="178"/>
      <c r="CD271" s="580">
        <f t="shared" si="410"/>
        <v>-50</v>
      </c>
      <c r="CE271">
        <f t="shared" si="411"/>
        <v>-50</v>
      </c>
    </row>
    <row r="272" spans="5:83" x14ac:dyDescent="0.2">
      <c r="E272" s="175">
        <v>56</v>
      </c>
      <c r="F272" s="222">
        <f t="shared" si="412"/>
        <v>0.22400000000000003</v>
      </c>
      <c r="G272" s="222"/>
      <c r="H272" s="222">
        <f t="shared" si="382"/>
        <v>2.6880000000000006</v>
      </c>
      <c r="I272" s="558">
        <f t="shared" si="383"/>
        <v>26.4</v>
      </c>
      <c r="J272" s="453">
        <f t="shared" si="384"/>
        <v>24.5</v>
      </c>
      <c r="K272" s="453">
        <f t="shared" si="385"/>
        <v>50.9</v>
      </c>
      <c r="L272" s="453"/>
      <c r="M272" s="222">
        <f t="shared" si="386"/>
        <v>0.48133595284872299</v>
      </c>
      <c r="N272" s="177">
        <f t="shared" si="387"/>
        <v>8.7521316306483303</v>
      </c>
      <c r="O272" s="177">
        <f t="shared" si="413"/>
        <v>2.6880000000000006</v>
      </c>
      <c r="P272" s="222">
        <f t="shared" si="388"/>
        <v>0.72934430255402749</v>
      </c>
      <c r="Q272" s="222">
        <f t="shared" si="389"/>
        <v>12</v>
      </c>
      <c r="R272" s="222"/>
      <c r="S272" s="177">
        <f t="shared" si="390"/>
        <v>68.022442896786259</v>
      </c>
      <c r="T272" s="177">
        <f t="shared" si="391"/>
        <v>12</v>
      </c>
      <c r="U272" s="222">
        <f t="shared" si="392"/>
        <v>0.44533151059466858</v>
      </c>
      <c r="V272" s="222">
        <f t="shared" si="393"/>
        <v>1.4169638973466727</v>
      </c>
      <c r="W272" s="222">
        <f t="shared" si="394"/>
        <v>1.526850893467435</v>
      </c>
      <c r="X272" s="202">
        <f t="shared" si="395"/>
        <v>350</v>
      </c>
      <c r="Y272" s="453">
        <f t="shared" si="362"/>
        <v>339.69528352136973</v>
      </c>
      <c r="AA272" s="222">
        <f t="shared" si="396"/>
        <v>0.4322200392927309</v>
      </c>
      <c r="AB272" s="178">
        <f t="shared" si="397"/>
        <v>1.4818972775750774</v>
      </c>
      <c r="AC272" s="178">
        <f t="shared" si="398"/>
        <v>0.22417699483945183</v>
      </c>
      <c r="AD272" s="178"/>
      <c r="AE272" s="178">
        <f t="shared" si="399"/>
        <v>0.99428571428571422</v>
      </c>
      <c r="AF272" s="562">
        <f t="shared" si="400"/>
        <v>776.85295283392816</v>
      </c>
      <c r="AG272" s="545">
        <f t="shared" si="401"/>
        <v>0.10091999999999998</v>
      </c>
      <c r="AI272" s="178">
        <f t="shared" si="402"/>
        <v>0.43204937989385739</v>
      </c>
      <c r="AJ272" s="178">
        <f t="shared" si="403"/>
        <v>0.43204937989385739</v>
      </c>
      <c r="AK272" s="178">
        <f t="shared" si="404"/>
        <v>1.3052217628843388</v>
      </c>
      <c r="AM272" s="562">
        <f t="shared" si="405"/>
        <v>224.00000000000003</v>
      </c>
      <c r="AN272" s="471">
        <f t="shared" si="406"/>
        <v>339.69528352136973</v>
      </c>
      <c r="AP272">
        <f t="shared" si="407"/>
        <v>224.00000000000003</v>
      </c>
      <c r="AQ272">
        <f t="shared" si="408"/>
        <v>339.69528352136973</v>
      </c>
      <c r="AS272" s="5">
        <f t="shared" si="414"/>
        <v>2.9438147908141077</v>
      </c>
      <c r="AT272" s="5">
        <f t="shared" si="409"/>
        <v>1.3747025723895463</v>
      </c>
      <c r="AU272" s="5">
        <f t="shared" si="380"/>
        <v>1.5691122184245614</v>
      </c>
      <c r="AV272" s="5"/>
      <c r="AW272" s="178">
        <f t="shared" si="381"/>
        <v>0.46697998008542319</v>
      </c>
      <c r="AX272" s="178"/>
      <c r="CD272" s="580">
        <f t="shared" si="410"/>
        <v>-50</v>
      </c>
      <c r="CE272">
        <f t="shared" si="411"/>
        <v>-50</v>
      </c>
    </row>
    <row r="273" spans="5:83" x14ac:dyDescent="0.2">
      <c r="E273" s="175">
        <v>57</v>
      </c>
      <c r="F273" s="222">
        <f t="shared" si="412"/>
        <v>0.22799999999999998</v>
      </c>
      <c r="G273" s="222"/>
      <c r="H273" s="222">
        <f t="shared" si="382"/>
        <v>2.7359999999999998</v>
      </c>
      <c r="I273" s="558">
        <f t="shared" si="383"/>
        <v>26.4</v>
      </c>
      <c r="J273" s="453">
        <f t="shared" si="384"/>
        <v>24.5</v>
      </c>
      <c r="K273" s="453">
        <f t="shared" si="385"/>
        <v>50.9</v>
      </c>
      <c r="L273" s="453"/>
      <c r="M273" s="222">
        <f t="shared" si="386"/>
        <v>0.48133595284872299</v>
      </c>
      <c r="N273" s="177">
        <f t="shared" si="387"/>
        <v>8.7521316306483303</v>
      </c>
      <c r="O273" s="177">
        <f t="shared" si="413"/>
        <v>2.7359999999999998</v>
      </c>
      <c r="P273" s="222">
        <f t="shared" si="388"/>
        <v>0.72934430255402749</v>
      </c>
      <c r="Q273" s="222">
        <f t="shared" si="389"/>
        <v>12</v>
      </c>
      <c r="R273" s="222"/>
      <c r="S273" s="177">
        <f t="shared" si="390"/>
        <v>66.599364717435222</v>
      </c>
      <c r="T273" s="177">
        <f t="shared" si="391"/>
        <v>12</v>
      </c>
      <c r="U273" s="222">
        <f t="shared" si="392"/>
        <v>0.45328385899814466</v>
      </c>
      <c r="V273" s="222">
        <f t="shared" si="393"/>
        <v>1.4422668240850058</v>
      </c>
      <c r="W273" s="222">
        <f t="shared" si="394"/>
        <v>1.5541160879936389</v>
      </c>
      <c r="X273" s="202">
        <f t="shared" si="395"/>
        <v>350</v>
      </c>
      <c r="Y273" s="453">
        <f t="shared" si="362"/>
        <v>333.73571714380188</v>
      </c>
      <c r="AA273" s="222">
        <f t="shared" si="396"/>
        <v>0.4322200392927309</v>
      </c>
      <c r="AB273" s="178">
        <f t="shared" si="397"/>
        <v>1.4818972775750774</v>
      </c>
      <c r="AC273" s="178">
        <f t="shared" si="398"/>
        <v>0.22417699483945183</v>
      </c>
      <c r="AD273" s="178"/>
      <c r="AE273" s="178">
        <f t="shared" si="399"/>
        <v>0.99428571428571422</v>
      </c>
      <c r="AF273" s="562">
        <f t="shared" si="400"/>
        <v>790.72532699167675</v>
      </c>
      <c r="AG273" s="545">
        <f t="shared" si="401"/>
        <v>0.10091999999999998</v>
      </c>
      <c r="AI273" s="178">
        <f t="shared" si="402"/>
        <v>0.43588989435406733</v>
      </c>
      <c r="AJ273" s="178">
        <f t="shared" si="403"/>
        <v>0.45328385899814466</v>
      </c>
      <c r="AK273" s="178">
        <f t="shared" si="404"/>
        <v>1.3209510066652923</v>
      </c>
      <c r="AM273" s="562">
        <f t="shared" si="405"/>
        <v>227.99999999999997</v>
      </c>
      <c r="AN273" s="471">
        <f t="shared" si="406"/>
        <v>333.73571714380188</v>
      </c>
      <c r="AP273">
        <f t="shared" si="407"/>
        <v>227.99999999999997</v>
      </c>
      <c r="AQ273">
        <f t="shared" si="408"/>
        <v>333.73571714380188</v>
      </c>
      <c r="AS273" s="5">
        <f t="shared" si="414"/>
        <v>2.9963829120786452</v>
      </c>
      <c r="AT273" s="5">
        <f t="shared" si="409"/>
        <v>1.4422668240850058</v>
      </c>
      <c r="AU273" s="5">
        <f t="shared" si="380"/>
        <v>1.5541160879936393</v>
      </c>
      <c r="AV273" s="5"/>
      <c r="AW273" s="178">
        <f t="shared" si="381"/>
        <v>0.48133595284872294</v>
      </c>
      <c r="AX273" s="178"/>
      <c r="CD273" s="580">
        <f t="shared" si="410"/>
        <v>-50</v>
      </c>
      <c r="CE273">
        <f t="shared" si="411"/>
        <v>-50</v>
      </c>
    </row>
    <row r="274" spans="5:83" x14ac:dyDescent="0.2">
      <c r="E274" s="175">
        <v>58</v>
      </c>
      <c r="F274" s="222">
        <f t="shared" si="412"/>
        <v>0.23199999999999998</v>
      </c>
      <c r="G274" s="222"/>
      <c r="H274" s="222">
        <f t="shared" si="382"/>
        <v>2.7839999999999998</v>
      </c>
      <c r="I274" s="558">
        <f t="shared" si="383"/>
        <v>26.4</v>
      </c>
      <c r="J274" s="453">
        <f t="shared" si="384"/>
        <v>24.5</v>
      </c>
      <c r="K274" s="453">
        <f t="shared" si="385"/>
        <v>50.9</v>
      </c>
      <c r="L274" s="453"/>
      <c r="M274" s="222">
        <f t="shared" si="386"/>
        <v>0.48133595284872299</v>
      </c>
      <c r="N274" s="177">
        <f t="shared" si="387"/>
        <v>8.7521316306483303</v>
      </c>
      <c r="O274" s="177">
        <f t="shared" si="413"/>
        <v>2.7839999999999998</v>
      </c>
      <c r="P274" s="222">
        <f t="shared" si="388"/>
        <v>0.72934430255402749</v>
      </c>
      <c r="Q274" s="222">
        <f t="shared" si="389"/>
        <v>12</v>
      </c>
      <c r="R274" s="222"/>
      <c r="S274" s="177">
        <f t="shared" si="390"/>
        <v>65.225400608004776</v>
      </c>
      <c r="T274" s="177">
        <f t="shared" si="391"/>
        <v>12</v>
      </c>
      <c r="U274" s="222">
        <f t="shared" si="392"/>
        <v>0.46123620740162091</v>
      </c>
      <c r="V274" s="222">
        <f t="shared" si="393"/>
        <v>1.4675697508233392</v>
      </c>
      <c r="W274" s="222">
        <f t="shared" si="394"/>
        <v>1.5813812825198428</v>
      </c>
      <c r="X274" s="202">
        <f t="shared" si="395"/>
        <v>350</v>
      </c>
      <c r="Y274" s="453">
        <f t="shared" si="362"/>
        <v>327.98165305511566</v>
      </c>
      <c r="AA274" s="222">
        <f t="shared" si="396"/>
        <v>0.4322200392927309</v>
      </c>
      <c r="AB274" s="178">
        <f t="shared" si="397"/>
        <v>1.4818972775750774</v>
      </c>
      <c r="AC274" s="178">
        <f t="shared" si="398"/>
        <v>0.22417699483945183</v>
      </c>
      <c r="AD274" s="178"/>
      <c r="AE274" s="178">
        <f t="shared" si="399"/>
        <v>0.99428571428571422</v>
      </c>
      <c r="AF274" s="562">
        <f t="shared" si="400"/>
        <v>804.59770114942546</v>
      </c>
      <c r="AG274" s="545">
        <f t="shared" si="401"/>
        <v>0.10091999999999998</v>
      </c>
      <c r="AI274" s="178">
        <f t="shared" si="402"/>
        <v>0.43969686527576396</v>
      </c>
      <c r="AJ274" s="178">
        <f t="shared" si="403"/>
        <v>0.46123620740162091</v>
      </c>
      <c r="AK274" s="178">
        <f t="shared" si="404"/>
        <v>1.3268416351123118</v>
      </c>
      <c r="AM274" s="562">
        <f t="shared" si="405"/>
        <v>231.99999999999997</v>
      </c>
      <c r="AN274" s="471">
        <f t="shared" si="406"/>
        <v>327.98165305511566</v>
      </c>
      <c r="AP274">
        <f t="shared" si="407"/>
        <v>231.99999999999997</v>
      </c>
      <c r="AQ274">
        <f t="shared" si="408"/>
        <v>327.98165305511566</v>
      </c>
      <c r="AS274" s="5">
        <f t="shared" si="414"/>
        <v>3.0489510333431822</v>
      </c>
      <c r="AT274" s="5">
        <f t="shared" si="409"/>
        <v>1.4675697508233392</v>
      </c>
      <c r="AU274" s="5">
        <f t="shared" si="380"/>
        <v>1.581381282519843</v>
      </c>
      <c r="AV274" s="5"/>
      <c r="AW274" s="178">
        <f t="shared" si="381"/>
        <v>0.48133595284872299</v>
      </c>
      <c r="AX274" s="178"/>
      <c r="CD274" s="580">
        <f t="shared" si="410"/>
        <v>-50</v>
      </c>
      <c r="CE274">
        <f t="shared" si="411"/>
        <v>-50</v>
      </c>
    </row>
    <row r="275" spans="5:83" x14ac:dyDescent="0.2">
      <c r="E275" s="175">
        <v>59</v>
      </c>
      <c r="F275" s="222">
        <f t="shared" si="412"/>
        <v>0.23599999999999999</v>
      </c>
      <c r="G275" s="222"/>
      <c r="H275" s="222">
        <f t="shared" si="382"/>
        <v>2.8319999999999999</v>
      </c>
      <c r="I275" s="558">
        <f t="shared" si="383"/>
        <v>26.4</v>
      </c>
      <c r="J275" s="453">
        <f t="shared" si="384"/>
        <v>24.5</v>
      </c>
      <c r="K275" s="453">
        <f t="shared" si="385"/>
        <v>50.9</v>
      </c>
      <c r="L275" s="453"/>
      <c r="M275" s="222">
        <f t="shared" si="386"/>
        <v>0.48133595284872299</v>
      </c>
      <c r="N275" s="177">
        <f t="shared" si="387"/>
        <v>8.7521316306483303</v>
      </c>
      <c r="O275" s="177">
        <f t="shared" si="413"/>
        <v>2.8319999999999999</v>
      </c>
      <c r="P275" s="222">
        <f t="shared" si="388"/>
        <v>0.72934430255402749</v>
      </c>
      <c r="Q275" s="222">
        <f t="shared" si="389"/>
        <v>12</v>
      </c>
      <c r="R275" s="222"/>
      <c r="S275" s="177">
        <f t="shared" si="390"/>
        <v>63.898053663277352</v>
      </c>
      <c r="T275" s="177">
        <f t="shared" si="391"/>
        <v>12</v>
      </c>
      <c r="U275" s="222">
        <f t="shared" si="392"/>
        <v>0.46918855580509716</v>
      </c>
      <c r="V275" s="222">
        <f t="shared" si="393"/>
        <v>1.492872677561673</v>
      </c>
      <c r="W275" s="222">
        <f t="shared" si="394"/>
        <v>1.6086464770460474</v>
      </c>
      <c r="X275" s="202">
        <f t="shared" si="395"/>
        <v>350</v>
      </c>
      <c r="Y275" s="453">
        <f t="shared" si="362"/>
        <v>322.42264198638486</v>
      </c>
      <c r="AA275" s="222">
        <f t="shared" si="396"/>
        <v>0.4322200392927309</v>
      </c>
      <c r="AB275" s="178">
        <f t="shared" si="397"/>
        <v>1.4818972775750774</v>
      </c>
      <c r="AC275" s="178">
        <f t="shared" si="398"/>
        <v>0.22417699483945183</v>
      </c>
      <c r="AD275" s="178"/>
      <c r="AE275" s="178">
        <f t="shared" si="399"/>
        <v>0.99428571428571422</v>
      </c>
      <c r="AF275" s="562">
        <f t="shared" si="400"/>
        <v>818.47007530717417</v>
      </c>
      <c r="AG275" s="545">
        <f t="shared" si="401"/>
        <v>0.10091999999999998</v>
      </c>
      <c r="AI275" s="178">
        <f t="shared" si="402"/>
        <v>0.44347115652166902</v>
      </c>
      <c r="AJ275" s="178">
        <f t="shared" si="403"/>
        <v>0.46918855580509716</v>
      </c>
      <c r="AK275" s="178">
        <f t="shared" si="404"/>
        <v>1.3327322635593313</v>
      </c>
      <c r="AM275" s="562">
        <f t="shared" si="405"/>
        <v>236</v>
      </c>
      <c r="AN275" s="471">
        <f t="shared" si="406"/>
        <v>322.42264198638486</v>
      </c>
      <c r="AP275">
        <f t="shared" si="407"/>
        <v>236</v>
      </c>
      <c r="AQ275">
        <f t="shared" si="408"/>
        <v>322.42264198638486</v>
      </c>
      <c r="AS275" s="5">
        <f t="shared" si="414"/>
        <v>3.1015191546077205</v>
      </c>
      <c r="AT275" s="5">
        <f t="shared" si="409"/>
        <v>1.492872677561673</v>
      </c>
      <c r="AU275" s="5">
        <f t="shared" si="380"/>
        <v>1.6086464770460476</v>
      </c>
      <c r="AV275" s="5"/>
      <c r="AW275" s="178">
        <f t="shared" si="381"/>
        <v>0.48133595284872299</v>
      </c>
      <c r="AX275" s="178"/>
      <c r="CD275" s="580">
        <f t="shared" si="410"/>
        <v>-50</v>
      </c>
      <c r="CE275">
        <f t="shared" si="411"/>
        <v>-50</v>
      </c>
    </row>
    <row r="276" spans="5:83" x14ac:dyDescent="0.2">
      <c r="E276" s="175">
        <v>60</v>
      </c>
      <c r="F276" s="222">
        <f t="shared" si="412"/>
        <v>0.24</v>
      </c>
      <c r="G276" s="222"/>
      <c r="H276" s="222">
        <f t="shared" si="382"/>
        <v>2.88</v>
      </c>
      <c r="I276" s="558">
        <f t="shared" si="383"/>
        <v>26.4</v>
      </c>
      <c r="J276" s="453">
        <f t="shared" si="384"/>
        <v>24.5</v>
      </c>
      <c r="K276" s="453">
        <f t="shared" si="385"/>
        <v>50.9</v>
      </c>
      <c r="L276" s="453"/>
      <c r="M276" s="222">
        <f t="shared" si="386"/>
        <v>0.48133595284872299</v>
      </c>
      <c r="N276" s="177">
        <f t="shared" si="387"/>
        <v>8.7521316306483303</v>
      </c>
      <c r="O276" s="177">
        <f t="shared" si="413"/>
        <v>2.88</v>
      </c>
      <c r="P276" s="222">
        <f t="shared" si="388"/>
        <v>0.72934430255402749</v>
      </c>
      <c r="Q276" s="222">
        <f t="shared" si="389"/>
        <v>12</v>
      </c>
      <c r="R276" s="222"/>
      <c r="S276" s="177">
        <f t="shared" si="390"/>
        <v>62.614993443794752</v>
      </c>
      <c r="T276" s="177">
        <f t="shared" si="391"/>
        <v>12</v>
      </c>
      <c r="U276" s="222">
        <f t="shared" si="392"/>
        <v>0.47714090420857336</v>
      </c>
      <c r="V276" s="222">
        <f t="shared" si="393"/>
        <v>1.5181756043000061</v>
      </c>
      <c r="W276" s="222">
        <f t="shared" si="394"/>
        <v>1.6359116715722515</v>
      </c>
      <c r="X276" s="202">
        <f t="shared" si="395"/>
        <v>350</v>
      </c>
      <c r="Y276" s="453">
        <f t="shared" ref="Y276:Y316" si="415">MIN(1/(V276+W276)*1000, 350)</f>
        <v>317.04893128661183</v>
      </c>
      <c r="AA276" s="222">
        <f t="shared" si="396"/>
        <v>0.4322200392927309</v>
      </c>
      <c r="AB276" s="178">
        <f t="shared" si="397"/>
        <v>1.4818972775750774</v>
      </c>
      <c r="AC276" s="178">
        <f t="shared" si="398"/>
        <v>0.22417699483945183</v>
      </c>
      <c r="AD276" s="178"/>
      <c r="AE276" s="178">
        <f t="shared" si="399"/>
        <v>0.99428571428571422</v>
      </c>
      <c r="AF276" s="562">
        <f t="shared" si="400"/>
        <v>832.34244946492288</v>
      </c>
      <c r="AG276" s="545">
        <f t="shared" si="401"/>
        <v>0.10091999999999998</v>
      </c>
      <c r="AI276" s="178">
        <f t="shared" si="402"/>
        <v>0.44721359549995793</v>
      </c>
      <c r="AJ276" s="178">
        <f t="shared" si="403"/>
        <v>0.47714090420857336</v>
      </c>
      <c r="AK276" s="178">
        <f t="shared" si="404"/>
        <v>1.3386228920063505</v>
      </c>
      <c r="AM276" s="562">
        <f t="shared" si="405"/>
        <v>240</v>
      </c>
      <c r="AN276" s="471">
        <f t="shared" si="406"/>
        <v>317.04893128661183</v>
      </c>
      <c r="AP276">
        <f t="shared" si="407"/>
        <v>240</v>
      </c>
      <c r="AQ276">
        <f t="shared" si="408"/>
        <v>317.04893128661183</v>
      </c>
      <c r="AS276" s="5">
        <f t="shared" si="414"/>
        <v>3.1540872758722571</v>
      </c>
      <c r="AT276" s="5">
        <f t="shared" si="409"/>
        <v>1.5181756043000061</v>
      </c>
      <c r="AU276" s="5">
        <f t="shared" si="380"/>
        <v>1.635911671572251</v>
      </c>
      <c r="AV276" s="5"/>
      <c r="AW276" s="178">
        <f t="shared" si="381"/>
        <v>0.48133595284872305</v>
      </c>
      <c r="AX276" s="178"/>
      <c r="CD276" s="580">
        <f t="shared" si="410"/>
        <v>-50</v>
      </c>
      <c r="CE276">
        <f t="shared" si="411"/>
        <v>-50</v>
      </c>
    </row>
    <row r="277" spans="5:83" x14ac:dyDescent="0.2">
      <c r="E277" s="175">
        <v>61</v>
      </c>
      <c r="F277" s="222">
        <f t="shared" si="412"/>
        <v>0.24399999999999999</v>
      </c>
      <c r="G277" s="222"/>
      <c r="H277" s="222">
        <f t="shared" si="382"/>
        <v>2.9279999999999999</v>
      </c>
      <c r="I277" s="558">
        <f t="shared" si="383"/>
        <v>26.4</v>
      </c>
      <c r="J277" s="453">
        <f t="shared" si="384"/>
        <v>24.5</v>
      </c>
      <c r="K277" s="453">
        <f t="shared" si="385"/>
        <v>50.9</v>
      </c>
      <c r="L277" s="453"/>
      <c r="M277" s="222">
        <f t="shared" si="386"/>
        <v>0.48133595284872299</v>
      </c>
      <c r="N277" s="177">
        <f t="shared" si="387"/>
        <v>8.7521316306483303</v>
      </c>
      <c r="O277" s="177">
        <f t="shared" si="413"/>
        <v>2.9279999999999999</v>
      </c>
      <c r="P277" s="222">
        <f t="shared" si="388"/>
        <v>0.72934430255402749</v>
      </c>
      <c r="Q277" s="222">
        <f t="shared" si="389"/>
        <v>12</v>
      </c>
      <c r="R277" s="222"/>
      <c r="S277" s="177">
        <f t="shared" si="390"/>
        <v>61.3740423312084</v>
      </c>
      <c r="T277" s="177">
        <f t="shared" si="391"/>
        <v>12</v>
      </c>
      <c r="U277" s="222">
        <f t="shared" si="392"/>
        <v>0.48509325261204961</v>
      </c>
      <c r="V277" s="222">
        <f t="shared" si="393"/>
        <v>1.5434785310383394</v>
      </c>
      <c r="W277" s="222">
        <f t="shared" si="394"/>
        <v>1.6631768660984556</v>
      </c>
      <c r="X277" s="202">
        <f t="shared" si="395"/>
        <v>350</v>
      </c>
      <c r="Y277" s="453">
        <f t="shared" si="415"/>
        <v>311.85140782289687</v>
      </c>
      <c r="AA277" s="222">
        <f t="shared" si="396"/>
        <v>0.4322200392927309</v>
      </c>
      <c r="AB277" s="178">
        <f t="shared" si="397"/>
        <v>1.4818972775750774</v>
      </c>
      <c r="AC277" s="178">
        <f t="shared" si="398"/>
        <v>0.22417699483945183</v>
      </c>
      <c r="AD277" s="178"/>
      <c r="AE277" s="178">
        <f t="shared" si="399"/>
        <v>0.99428571428571422</v>
      </c>
      <c r="AF277" s="562">
        <f t="shared" si="400"/>
        <v>846.2148236226717</v>
      </c>
      <c r="AG277" s="545">
        <f t="shared" si="401"/>
        <v>0.10091999999999998</v>
      </c>
      <c r="AI277" s="178">
        <f t="shared" si="402"/>
        <v>0.45092497528228942</v>
      </c>
      <c r="AJ277" s="178">
        <f t="shared" si="403"/>
        <v>0.48509325261204961</v>
      </c>
      <c r="AK277" s="178">
        <f t="shared" si="404"/>
        <v>1.34451352045337</v>
      </c>
      <c r="AM277" s="562">
        <f t="shared" si="405"/>
        <v>244</v>
      </c>
      <c r="AN277" s="471">
        <f t="shared" si="406"/>
        <v>311.85140782289687</v>
      </c>
      <c r="AP277">
        <f t="shared" si="407"/>
        <v>244</v>
      </c>
      <c r="AQ277">
        <f t="shared" si="408"/>
        <v>311.85140782289687</v>
      </c>
      <c r="AS277" s="5">
        <f t="shared" si="414"/>
        <v>3.206655397136795</v>
      </c>
      <c r="AT277" s="5">
        <f t="shared" si="409"/>
        <v>1.5434785310383394</v>
      </c>
      <c r="AU277" s="5">
        <f t="shared" si="380"/>
        <v>1.6631768660984556</v>
      </c>
      <c r="AV277" s="5"/>
      <c r="AW277" s="178">
        <f t="shared" si="381"/>
        <v>0.48133595284872299</v>
      </c>
      <c r="AX277" s="178"/>
      <c r="CD277" s="580">
        <f t="shared" si="410"/>
        <v>-50</v>
      </c>
      <c r="CE277">
        <f t="shared" si="411"/>
        <v>-50</v>
      </c>
    </row>
    <row r="278" spans="5:83" x14ac:dyDescent="0.2">
      <c r="E278" s="175">
        <v>62</v>
      </c>
      <c r="F278" s="222">
        <f t="shared" si="412"/>
        <v>0.248</v>
      </c>
      <c r="G278" s="222"/>
      <c r="H278" s="222">
        <f t="shared" si="382"/>
        <v>2.976</v>
      </c>
      <c r="I278" s="558">
        <f t="shared" si="383"/>
        <v>26.4</v>
      </c>
      <c r="J278" s="453">
        <f t="shared" si="384"/>
        <v>24.5</v>
      </c>
      <c r="K278" s="453">
        <f t="shared" si="385"/>
        <v>50.9</v>
      </c>
      <c r="L278" s="453"/>
      <c r="M278" s="222">
        <f t="shared" si="386"/>
        <v>0.48133595284872299</v>
      </c>
      <c r="N278" s="177">
        <f t="shared" si="387"/>
        <v>8.7521316306483303</v>
      </c>
      <c r="O278" s="177">
        <f t="shared" si="413"/>
        <v>2.976</v>
      </c>
      <c r="P278" s="222">
        <f t="shared" si="388"/>
        <v>0.72934430255402749</v>
      </c>
      <c r="Q278" s="222">
        <f t="shared" si="389"/>
        <v>12</v>
      </c>
      <c r="R278" s="222"/>
      <c r="S278" s="177">
        <f t="shared" si="390"/>
        <v>60.173163204081007</v>
      </c>
      <c r="T278" s="177">
        <f t="shared" si="391"/>
        <v>12</v>
      </c>
      <c r="U278" s="222">
        <f t="shared" si="392"/>
        <v>0.49304560101552586</v>
      </c>
      <c r="V278" s="222">
        <f t="shared" si="393"/>
        <v>1.5687814577766732</v>
      </c>
      <c r="W278" s="222">
        <f t="shared" si="394"/>
        <v>1.6904420606246602</v>
      </c>
      <c r="X278" s="202">
        <f t="shared" si="395"/>
        <v>350</v>
      </c>
      <c r="Y278" s="453">
        <f t="shared" si="415"/>
        <v>306.82154640639845</v>
      </c>
      <c r="AA278" s="222">
        <f t="shared" si="396"/>
        <v>0.4322200392927309</v>
      </c>
      <c r="AB278" s="178">
        <f t="shared" si="397"/>
        <v>1.4818972775750774</v>
      </c>
      <c r="AC278" s="178">
        <f t="shared" si="398"/>
        <v>0.22417699483945183</v>
      </c>
      <c r="AD278" s="178"/>
      <c r="AE278" s="178">
        <f t="shared" si="399"/>
        <v>0.99428571428571422</v>
      </c>
      <c r="AF278" s="562">
        <f t="shared" si="400"/>
        <v>860.0871977804203</v>
      </c>
      <c r="AG278" s="545">
        <f t="shared" si="401"/>
        <v>0.10091999999999998</v>
      </c>
      <c r="AI278" s="178">
        <f t="shared" si="402"/>
        <v>0.45460605656619518</v>
      </c>
      <c r="AJ278" s="178">
        <f t="shared" si="403"/>
        <v>0.49304560101552586</v>
      </c>
      <c r="AK278" s="178">
        <f t="shared" si="404"/>
        <v>1.3504041489003895</v>
      </c>
      <c r="AM278" s="562">
        <f t="shared" si="405"/>
        <v>248</v>
      </c>
      <c r="AN278" s="471">
        <f t="shared" si="406"/>
        <v>306.82154640639845</v>
      </c>
      <c r="AP278">
        <f t="shared" si="407"/>
        <v>248</v>
      </c>
      <c r="AQ278">
        <f t="shared" si="408"/>
        <v>306.82154640639845</v>
      </c>
      <c r="AS278" s="5">
        <f t="shared" si="414"/>
        <v>3.2592235184013334</v>
      </c>
      <c r="AT278" s="5">
        <f t="shared" si="409"/>
        <v>1.5687814577766732</v>
      </c>
      <c r="AU278" s="5">
        <f t="shared" si="380"/>
        <v>1.6904420606246602</v>
      </c>
      <c r="AV278" s="5"/>
      <c r="AW278" s="178">
        <f t="shared" si="381"/>
        <v>0.48133595284872299</v>
      </c>
      <c r="AX278" s="178"/>
      <c r="CD278" s="580">
        <f t="shared" si="410"/>
        <v>-50</v>
      </c>
      <c r="CE278">
        <f t="shared" si="411"/>
        <v>-50</v>
      </c>
    </row>
    <row r="279" spans="5:83" x14ac:dyDescent="0.2">
      <c r="E279" s="175">
        <v>63</v>
      </c>
      <c r="F279" s="222">
        <f t="shared" si="412"/>
        <v>0.252</v>
      </c>
      <c r="G279" s="222"/>
      <c r="H279" s="222">
        <f t="shared" si="382"/>
        <v>3.024</v>
      </c>
      <c r="I279" s="558">
        <f t="shared" si="383"/>
        <v>26.4</v>
      </c>
      <c r="J279" s="453">
        <f t="shared" si="384"/>
        <v>24.5</v>
      </c>
      <c r="K279" s="453">
        <f t="shared" si="385"/>
        <v>50.9</v>
      </c>
      <c r="L279" s="453"/>
      <c r="M279" s="222">
        <f t="shared" si="386"/>
        <v>0.48133595284872299</v>
      </c>
      <c r="N279" s="177">
        <f t="shared" si="387"/>
        <v>8.7521316306483303</v>
      </c>
      <c r="O279" s="177">
        <f t="shared" si="413"/>
        <v>3.024</v>
      </c>
      <c r="P279" s="222">
        <f t="shared" si="388"/>
        <v>0.72934430255402749</v>
      </c>
      <c r="Q279" s="222">
        <f t="shared" si="389"/>
        <v>12</v>
      </c>
      <c r="R279" s="222"/>
      <c r="S279" s="177">
        <f t="shared" si="390"/>
        <v>59.01044828742296</v>
      </c>
      <c r="T279" s="177">
        <f t="shared" si="391"/>
        <v>12</v>
      </c>
      <c r="U279" s="222">
        <f t="shared" si="392"/>
        <v>0.50099794941900211</v>
      </c>
      <c r="V279" s="222">
        <f t="shared" si="393"/>
        <v>1.5940843845150068</v>
      </c>
      <c r="W279" s="222">
        <f t="shared" si="394"/>
        <v>1.7177072551508643</v>
      </c>
      <c r="X279" s="202">
        <f t="shared" si="395"/>
        <v>350</v>
      </c>
      <c r="Y279" s="453">
        <f t="shared" si="415"/>
        <v>301.95136313010647</v>
      </c>
      <c r="AA279" s="222">
        <f t="shared" si="396"/>
        <v>0.4322200392927309</v>
      </c>
      <c r="AB279" s="178">
        <f t="shared" si="397"/>
        <v>1.4818972775750774</v>
      </c>
      <c r="AC279" s="178">
        <f t="shared" si="398"/>
        <v>0.22417699483945183</v>
      </c>
      <c r="AD279" s="178"/>
      <c r="AE279" s="178">
        <f t="shared" si="399"/>
        <v>0.99428571428571422</v>
      </c>
      <c r="AF279" s="562">
        <f t="shared" si="400"/>
        <v>873.95957193816912</v>
      </c>
      <c r="AG279" s="545">
        <f t="shared" si="401"/>
        <v>0.10091999999999998</v>
      </c>
      <c r="AI279" s="178">
        <f t="shared" si="402"/>
        <v>0.45825756949558405</v>
      </c>
      <c r="AJ279" s="178">
        <f t="shared" si="403"/>
        <v>0.50099794941900211</v>
      </c>
      <c r="AK279" s="178">
        <f t="shared" si="404"/>
        <v>1.356294777347409</v>
      </c>
      <c r="AM279" s="562">
        <f t="shared" si="405"/>
        <v>252</v>
      </c>
      <c r="AN279" s="471">
        <f t="shared" si="406"/>
        <v>301.95136313010647</v>
      </c>
      <c r="AP279">
        <f t="shared" si="407"/>
        <v>252</v>
      </c>
      <c r="AQ279">
        <f t="shared" si="408"/>
        <v>301.95136313010647</v>
      </c>
      <c r="AS279" s="5">
        <f t="shared" si="414"/>
        <v>3.3117916396658709</v>
      </c>
      <c r="AT279" s="5">
        <f t="shared" si="409"/>
        <v>1.5940843845150068</v>
      </c>
      <c r="AU279" s="5">
        <f t="shared" si="380"/>
        <v>1.7177072551508641</v>
      </c>
      <c r="AV279" s="5"/>
      <c r="AW279" s="178">
        <f t="shared" si="381"/>
        <v>0.48133595284872305</v>
      </c>
      <c r="AX279" s="178"/>
      <c r="CD279" s="580">
        <f t="shared" si="410"/>
        <v>-50</v>
      </c>
      <c r="CE279">
        <f t="shared" si="411"/>
        <v>-50</v>
      </c>
    </row>
    <row r="280" spans="5:83" x14ac:dyDescent="0.2">
      <c r="E280" s="175">
        <v>64</v>
      </c>
      <c r="F280" s="222">
        <f t="shared" si="412"/>
        <v>0.25600000000000001</v>
      </c>
      <c r="G280" s="222"/>
      <c r="H280" s="222">
        <f t="shared" ref="H280:H311" si="416">F280*Vout</f>
        <v>3.0720000000000001</v>
      </c>
      <c r="I280" s="558">
        <f t="shared" ref="I280:I316" si="417">VIN_max</f>
        <v>26.4</v>
      </c>
      <c r="J280" s="453">
        <f t="shared" ref="J280:J316" si="418">(T280+Vfwd1)*Nps</f>
        <v>24.5</v>
      </c>
      <c r="K280" s="453">
        <f t="shared" ref="K280:K316" si="419">(Vout+Vfwd1)*Nps+I280</f>
        <v>50.9</v>
      </c>
      <c r="L280" s="453"/>
      <c r="M280" s="222">
        <f t="shared" ref="M280:M316" si="420">(Vout+Vfwd1)*Nps/((Vout+Vfwd1)*Nps+I280)</f>
        <v>0.48133595284872299</v>
      </c>
      <c r="N280" s="177">
        <f t="shared" ref="N280:N311" si="421">M280*I280*Isw_max*0.5*Efficiency</f>
        <v>8.7521316306483303</v>
      </c>
      <c r="O280" s="177">
        <f t="shared" si="413"/>
        <v>3.0720000000000001</v>
      </c>
      <c r="P280" s="222">
        <f t="shared" ref="P280:P311" si="422">N280/Vout</f>
        <v>0.72934430255402749</v>
      </c>
      <c r="Q280" s="222">
        <f t="shared" ref="Q280:Q316" si="423">MIN(Vout,N280/F280)</f>
        <v>12</v>
      </c>
      <c r="R280" s="222"/>
      <c r="S280" s="177">
        <f t="shared" ref="S280:S316" si="424">(SQRT(Isw_max^2*Nps^2*I280^2+4*Isw_max*F280/Efficiency*(Nps^2*Vfwd1*I280-Nps*I280^2)+4*(F280/Efficiency)^2*Nps^2*Vfwd1^2+8*(F280/Efficiency)^2*Nps*Vfwd1*I280+4*(F280/Efficiency)^2*I280^2)-2*F280/Efficiency*I280-2*F280/Efficiency*Nps*Vfwd1+Isw_max*Nps*I280)/(4*F280/Efficiency*Nps)</f>
        <v>57.884109047586286</v>
      </c>
      <c r="T280" s="177">
        <f t="shared" ref="T280:T311" si="425">MIN(Vout, S280)</f>
        <v>12</v>
      </c>
      <c r="U280" s="222">
        <f t="shared" ref="U280:U316" si="426">MIN(2*Vout*F280/(Efficiency*I280*M280), Isw_max)</f>
        <v>0.50895029782247825</v>
      </c>
      <c r="V280" s="222">
        <f t="shared" ref="V280:V311" si="427">L*U280/I280*1000000</f>
        <v>1.6193873112533399</v>
      </c>
      <c r="W280" s="222">
        <f t="shared" ref="W280:W316" si="428">L*U280/J280*1000000</f>
        <v>1.7449724496770682</v>
      </c>
      <c r="X280" s="202">
        <f t="shared" ref="X280:X316" si="429">IF(1/((350000*L)*(1/I280+1/J280))&gt;Isw_min, 350, 0.001/((Isw_min*L)*(1/I280+1/J280)))</f>
        <v>350</v>
      </c>
      <c r="Y280" s="453">
        <f t="shared" si="415"/>
        <v>297.23337308119858</v>
      </c>
      <c r="AA280" s="222">
        <f t="shared" ref="AA280:AA316" si="430">1/((X280*1000*L)*(1/I280+1/J280))</f>
        <v>0.4322200392927309</v>
      </c>
      <c r="AB280" s="178">
        <f t="shared" ref="AB280:AB311" si="431">L*AA280/J280*1000000</f>
        <v>1.4818972775750774</v>
      </c>
      <c r="AC280" s="178">
        <f t="shared" ref="AC280:AC311" si="432">0.5*AB280*AA280*Nps*X280/1000</f>
        <v>0.22417699483945183</v>
      </c>
      <c r="AD280" s="178"/>
      <c r="AE280" s="178">
        <f t="shared" ref="AE280:AE316" si="433">L*Isw_min/J280*1000000</f>
        <v>0.99428571428571422</v>
      </c>
      <c r="AF280" s="562">
        <f t="shared" ref="AF280:AF311" si="434">MAX(10000,F280/(0.5*AE280/1000000*Isw_min*Nps))/1000</f>
        <v>887.83194609591783</v>
      </c>
      <c r="AG280" s="545">
        <f t="shared" ref="AG280:AG316" si="435">0.5*AE280/1000000*Isw_min*Nps*X280*1000</f>
        <v>0.10091999999999998</v>
      </c>
      <c r="AI280" s="178">
        <f t="shared" ref="AI280:AI316" si="436">SQRT(F280/(0.5*L/J280*Fsw_DCM*Nps))</f>
        <v>0.46188021535170065</v>
      </c>
      <c r="AJ280" s="178">
        <f t="shared" ref="AJ280:AJ311" si="437">MAX(IF(F280&gt;AC280,U280,AI280),Isw_min)</f>
        <v>0.50895029782247825</v>
      </c>
      <c r="AK280" s="178">
        <f t="shared" ref="AK280:AK311" si="438">IF(F280&gt;AG280, (AJ280-Isw_min)/1.08*0.8+1.2, AF280*0.2/350+1)</f>
        <v>1.3621854057944283</v>
      </c>
      <c r="AM280" s="562">
        <f t="shared" ref="AM280:AM316" si="439">F280*1000</f>
        <v>256</v>
      </c>
      <c r="AN280" s="471">
        <f t="shared" ref="AN280:AN316" si="440">IF(F280&gt;AG280, Y280, AF280)</f>
        <v>297.23337308119858</v>
      </c>
      <c r="AP280">
        <f t="shared" ref="AP280:AP316" si="441">IF(H280&gt;N280, "",AM280)</f>
        <v>256</v>
      </c>
      <c r="AQ280">
        <f t="shared" ref="AQ280:AQ316" si="442">IF(H280&gt;N280, "",AN280)</f>
        <v>297.23337308119858</v>
      </c>
      <c r="AS280" s="5">
        <f t="shared" si="414"/>
        <v>3.3643597609304079</v>
      </c>
      <c r="AT280" s="5">
        <f t="shared" ref="AT280:AT316" si="443">L*AJ280/I280*1000000</f>
        <v>1.6193873112533399</v>
      </c>
      <c r="AU280" s="5">
        <f t="shared" si="380"/>
        <v>1.744972449677068</v>
      </c>
      <c r="AV280" s="5"/>
      <c r="AW280" s="178">
        <f t="shared" si="381"/>
        <v>0.48133595284872305</v>
      </c>
      <c r="AX280" s="178"/>
      <c r="CD280" s="580">
        <f t="shared" ref="CD280:CD316" si="444">IF(ABS(F280-Ioutmax_Vinmax)&lt;Iout/200, AN280, -50)</f>
        <v>-50</v>
      </c>
      <c r="CE280">
        <f t="shared" ref="CE280:CE316" si="445">IF(ABS(F280-Ioutmax_Vinmin)&lt;Iout/200, N280*BZ280, -50)</f>
        <v>-50</v>
      </c>
    </row>
    <row r="281" spans="5:83" x14ac:dyDescent="0.2">
      <c r="E281" s="175">
        <v>65</v>
      </c>
      <c r="F281" s="222">
        <f t="shared" ref="F281:F312" si="446">IF(PLOT_TYPE=1, E281/100*Iout_max, min_I*EXP(N281*rr/100))</f>
        <v>0.26</v>
      </c>
      <c r="G281" s="222"/>
      <c r="H281" s="222">
        <f t="shared" si="416"/>
        <v>3.12</v>
      </c>
      <c r="I281" s="558">
        <f t="shared" si="417"/>
        <v>26.4</v>
      </c>
      <c r="J281" s="453">
        <f t="shared" si="418"/>
        <v>24.5</v>
      </c>
      <c r="K281" s="453">
        <f t="shared" si="419"/>
        <v>50.9</v>
      </c>
      <c r="L281" s="453"/>
      <c r="M281" s="222">
        <f t="shared" si="420"/>
        <v>0.48133595284872299</v>
      </c>
      <c r="N281" s="177">
        <f t="shared" si="421"/>
        <v>8.7521316306483303</v>
      </c>
      <c r="O281" s="177">
        <f t="shared" si="413"/>
        <v>3.12</v>
      </c>
      <c r="P281" s="222">
        <f t="shared" si="422"/>
        <v>0.72934430255402749</v>
      </c>
      <c r="Q281" s="222">
        <f t="shared" si="423"/>
        <v>12</v>
      </c>
      <c r="R281" s="222"/>
      <c r="S281" s="177">
        <f t="shared" si="424"/>
        <v>56.792467019939046</v>
      </c>
      <c r="T281" s="177">
        <f t="shared" si="425"/>
        <v>12</v>
      </c>
      <c r="U281" s="222">
        <f t="shared" si="426"/>
        <v>0.5169026462259545</v>
      </c>
      <c r="V281" s="222">
        <f t="shared" si="427"/>
        <v>1.6446902379916735</v>
      </c>
      <c r="W281" s="222">
        <f t="shared" si="428"/>
        <v>1.7722376442032726</v>
      </c>
      <c r="X281" s="202">
        <f t="shared" si="429"/>
        <v>350</v>
      </c>
      <c r="Y281" s="453">
        <f t="shared" si="415"/>
        <v>292.66055195687238</v>
      </c>
      <c r="AA281" s="222">
        <f t="shared" si="430"/>
        <v>0.4322200392927309</v>
      </c>
      <c r="AB281" s="178">
        <f t="shared" si="431"/>
        <v>1.4818972775750774</v>
      </c>
      <c r="AC281" s="178">
        <f t="shared" si="432"/>
        <v>0.22417699483945183</v>
      </c>
      <c r="AD281" s="178"/>
      <c r="AE281" s="178">
        <f t="shared" si="433"/>
        <v>0.99428571428571422</v>
      </c>
      <c r="AF281" s="562">
        <f t="shared" si="434"/>
        <v>901.70432025366654</v>
      </c>
      <c r="AG281" s="545">
        <f t="shared" si="435"/>
        <v>0.10091999999999998</v>
      </c>
      <c r="AI281" s="178">
        <f t="shared" si="436"/>
        <v>0.46547466812563137</v>
      </c>
      <c r="AJ281" s="178">
        <f t="shared" si="437"/>
        <v>0.5169026462259545</v>
      </c>
      <c r="AK281" s="178">
        <f t="shared" si="438"/>
        <v>1.3680760342414477</v>
      </c>
      <c r="AM281" s="562">
        <f t="shared" si="439"/>
        <v>260</v>
      </c>
      <c r="AN281" s="471">
        <f t="shared" si="440"/>
        <v>292.66055195687238</v>
      </c>
      <c r="AP281">
        <f t="shared" si="441"/>
        <v>260</v>
      </c>
      <c r="AQ281">
        <f t="shared" si="442"/>
        <v>292.66055195687238</v>
      </c>
      <c r="AS281" s="5">
        <f t="shared" si="414"/>
        <v>3.4169278821949463</v>
      </c>
      <c r="AT281" s="5">
        <f t="shared" si="443"/>
        <v>1.6446902379916735</v>
      </c>
      <c r="AU281" s="5">
        <f t="shared" si="380"/>
        <v>1.7722376442032728</v>
      </c>
      <c r="AV281" s="5"/>
      <c r="AW281" s="178">
        <f t="shared" si="381"/>
        <v>0.48133595284872294</v>
      </c>
      <c r="AX281" s="178"/>
      <c r="CD281" s="580">
        <f t="shared" si="444"/>
        <v>-50</v>
      </c>
      <c r="CE281">
        <f t="shared" si="445"/>
        <v>-50</v>
      </c>
    </row>
    <row r="282" spans="5:83" x14ac:dyDescent="0.2">
      <c r="E282" s="175">
        <v>66</v>
      </c>
      <c r="F282" s="222">
        <f t="shared" si="446"/>
        <v>0.26400000000000001</v>
      </c>
      <c r="G282" s="222"/>
      <c r="H282" s="222">
        <f t="shared" si="416"/>
        <v>3.1680000000000001</v>
      </c>
      <c r="I282" s="558">
        <f t="shared" si="417"/>
        <v>26.4</v>
      </c>
      <c r="J282" s="453">
        <f t="shared" si="418"/>
        <v>24.5</v>
      </c>
      <c r="K282" s="453">
        <f t="shared" si="419"/>
        <v>50.9</v>
      </c>
      <c r="L282" s="453"/>
      <c r="M282" s="222">
        <f t="shared" si="420"/>
        <v>0.48133595284872299</v>
      </c>
      <c r="N282" s="177">
        <f t="shared" si="421"/>
        <v>8.7521316306483303</v>
      </c>
      <c r="O282" s="177">
        <f t="shared" si="413"/>
        <v>3.1680000000000001</v>
      </c>
      <c r="P282" s="222">
        <f t="shared" si="422"/>
        <v>0.72934430255402749</v>
      </c>
      <c r="Q282" s="222">
        <f t="shared" si="423"/>
        <v>12</v>
      </c>
      <c r="R282" s="222"/>
      <c r="S282" s="177">
        <f t="shared" si="424"/>
        <v>55.733945470389266</v>
      </c>
      <c r="T282" s="177">
        <f t="shared" si="425"/>
        <v>12</v>
      </c>
      <c r="U282" s="222">
        <f t="shared" si="426"/>
        <v>0.52485499462943075</v>
      </c>
      <c r="V282" s="222">
        <f t="shared" si="427"/>
        <v>1.669993164730007</v>
      </c>
      <c r="W282" s="222">
        <f t="shared" si="428"/>
        <v>1.7995028387294767</v>
      </c>
      <c r="X282" s="202">
        <f t="shared" si="429"/>
        <v>350</v>
      </c>
      <c r="Y282" s="453">
        <f t="shared" si="415"/>
        <v>288.22630116964706</v>
      </c>
      <c r="AA282" s="222">
        <f t="shared" si="430"/>
        <v>0.4322200392927309</v>
      </c>
      <c r="AB282" s="178">
        <f t="shared" si="431"/>
        <v>1.4818972775750774</v>
      </c>
      <c r="AC282" s="178">
        <f t="shared" si="432"/>
        <v>0.22417699483945183</v>
      </c>
      <c r="AD282" s="178"/>
      <c r="AE282" s="178">
        <f t="shared" si="433"/>
        <v>0.99428571428571422</v>
      </c>
      <c r="AF282" s="562">
        <f t="shared" si="434"/>
        <v>915.57669441141525</v>
      </c>
      <c r="AG282" s="545">
        <f t="shared" si="435"/>
        <v>0.10091999999999998</v>
      </c>
      <c r="AI282" s="178">
        <f t="shared" si="436"/>
        <v>0.46904157598234297</v>
      </c>
      <c r="AJ282" s="178">
        <f t="shared" si="437"/>
        <v>0.52485499462943075</v>
      </c>
      <c r="AK282" s="178">
        <f t="shared" si="438"/>
        <v>1.3739666626884672</v>
      </c>
      <c r="AM282" s="562">
        <f t="shared" si="439"/>
        <v>264</v>
      </c>
      <c r="AN282" s="471">
        <f t="shared" si="440"/>
        <v>288.22630116964706</v>
      </c>
      <c r="AP282">
        <f t="shared" si="441"/>
        <v>264</v>
      </c>
      <c r="AQ282">
        <f t="shared" si="442"/>
        <v>288.22630116964706</v>
      </c>
      <c r="AS282" s="5">
        <f t="shared" si="414"/>
        <v>3.4694960034594837</v>
      </c>
      <c r="AT282" s="5">
        <f t="shared" si="443"/>
        <v>1.669993164730007</v>
      </c>
      <c r="AU282" s="5">
        <f t="shared" si="380"/>
        <v>1.7995028387294767</v>
      </c>
      <c r="AV282" s="5"/>
      <c r="AW282" s="178">
        <f t="shared" si="381"/>
        <v>0.48133595284872305</v>
      </c>
      <c r="AX282" s="178"/>
      <c r="CD282" s="580">
        <f t="shared" si="444"/>
        <v>-50</v>
      </c>
      <c r="CE282">
        <f t="shared" si="445"/>
        <v>-50</v>
      </c>
    </row>
    <row r="283" spans="5:83" x14ac:dyDescent="0.2">
      <c r="E283" s="175">
        <v>67</v>
      </c>
      <c r="F283" s="222">
        <f t="shared" si="446"/>
        <v>0.26800000000000002</v>
      </c>
      <c r="G283" s="222"/>
      <c r="H283" s="222">
        <f t="shared" si="416"/>
        <v>3.2160000000000002</v>
      </c>
      <c r="I283" s="558">
        <f t="shared" si="417"/>
        <v>26.4</v>
      </c>
      <c r="J283" s="453">
        <f t="shared" si="418"/>
        <v>24.5</v>
      </c>
      <c r="K283" s="453">
        <f t="shared" si="419"/>
        <v>50.9</v>
      </c>
      <c r="L283" s="453"/>
      <c r="M283" s="222">
        <f t="shared" si="420"/>
        <v>0.48133595284872299</v>
      </c>
      <c r="N283" s="177">
        <f t="shared" si="421"/>
        <v>8.7521316306483303</v>
      </c>
      <c r="O283" s="177">
        <f t="shared" si="413"/>
        <v>3.2160000000000002</v>
      </c>
      <c r="P283" s="222">
        <f t="shared" si="422"/>
        <v>0.72934430255402749</v>
      </c>
      <c r="Q283" s="222">
        <f t="shared" si="423"/>
        <v>12</v>
      </c>
      <c r="R283" s="222"/>
      <c r="S283" s="177">
        <f t="shared" si="424"/>
        <v>54.70706180363949</v>
      </c>
      <c r="T283" s="177">
        <f t="shared" si="425"/>
        <v>12</v>
      </c>
      <c r="U283" s="222">
        <f t="shared" si="426"/>
        <v>0.532807343032907</v>
      </c>
      <c r="V283" s="222">
        <f t="shared" si="427"/>
        <v>1.6952960914683404</v>
      </c>
      <c r="W283" s="222">
        <f t="shared" si="428"/>
        <v>1.8267680332556808</v>
      </c>
      <c r="X283" s="202">
        <f t="shared" si="429"/>
        <v>350</v>
      </c>
      <c r="Y283" s="453">
        <f t="shared" si="415"/>
        <v>283.9244160775628</v>
      </c>
      <c r="AA283" s="222">
        <f t="shared" si="430"/>
        <v>0.4322200392927309</v>
      </c>
      <c r="AB283" s="178">
        <f t="shared" si="431"/>
        <v>1.4818972775750774</v>
      </c>
      <c r="AC283" s="178">
        <f t="shared" si="432"/>
        <v>0.22417699483945183</v>
      </c>
      <c r="AD283" s="178"/>
      <c r="AE283" s="178">
        <f t="shared" si="433"/>
        <v>0.99428571428571422</v>
      </c>
      <c r="AF283" s="562">
        <f t="shared" si="434"/>
        <v>929.44906856916407</v>
      </c>
      <c r="AG283" s="545">
        <f t="shared" si="435"/>
        <v>0.10091999999999998</v>
      </c>
      <c r="AI283" s="178">
        <f t="shared" si="436"/>
        <v>0.47258156262526085</v>
      </c>
      <c r="AJ283" s="178">
        <f t="shared" si="437"/>
        <v>0.532807343032907</v>
      </c>
      <c r="AK283" s="178">
        <f t="shared" si="438"/>
        <v>1.3798572911354867</v>
      </c>
      <c r="AM283" s="562">
        <f t="shared" si="439"/>
        <v>268</v>
      </c>
      <c r="AN283" s="471">
        <f t="shared" si="440"/>
        <v>283.9244160775628</v>
      </c>
      <c r="AP283">
        <f t="shared" si="441"/>
        <v>268</v>
      </c>
      <c r="AQ283">
        <f t="shared" si="442"/>
        <v>283.9244160775628</v>
      </c>
      <c r="AS283" s="5">
        <f t="shared" si="414"/>
        <v>3.5220641247240212</v>
      </c>
      <c r="AT283" s="5">
        <f t="shared" si="443"/>
        <v>1.6952960914683404</v>
      </c>
      <c r="AU283" s="5">
        <f t="shared" si="380"/>
        <v>1.8267680332556808</v>
      </c>
      <c r="AV283" s="5"/>
      <c r="AW283" s="178">
        <f t="shared" si="381"/>
        <v>0.48133595284872299</v>
      </c>
      <c r="AX283" s="178"/>
      <c r="CD283" s="580">
        <f t="shared" si="444"/>
        <v>-50</v>
      </c>
      <c r="CE283">
        <f t="shared" si="445"/>
        <v>-50</v>
      </c>
    </row>
    <row r="284" spans="5:83" x14ac:dyDescent="0.2">
      <c r="E284" s="175">
        <v>68</v>
      </c>
      <c r="F284" s="222">
        <f t="shared" si="446"/>
        <v>0.27200000000000002</v>
      </c>
      <c r="G284" s="222"/>
      <c r="H284" s="222">
        <f t="shared" si="416"/>
        <v>3.2640000000000002</v>
      </c>
      <c r="I284" s="558">
        <f t="shared" si="417"/>
        <v>26.4</v>
      </c>
      <c r="J284" s="453">
        <f t="shared" si="418"/>
        <v>24.5</v>
      </c>
      <c r="K284" s="453">
        <f t="shared" si="419"/>
        <v>50.9</v>
      </c>
      <c r="L284" s="453"/>
      <c r="M284" s="222">
        <f t="shared" si="420"/>
        <v>0.48133595284872299</v>
      </c>
      <c r="N284" s="177">
        <f t="shared" si="421"/>
        <v>8.7521316306483303</v>
      </c>
      <c r="O284" s="177">
        <f t="shared" si="413"/>
        <v>3.2640000000000002</v>
      </c>
      <c r="P284" s="222">
        <f t="shared" si="422"/>
        <v>0.72934430255402749</v>
      </c>
      <c r="Q284" s="222">
        <f t="shared" si="423"/>
        <v>12</v>
      </c>
      <c r="R284" s="222"/>
      <c r="S284" s="177">
        <f t="shared" si="424"/>
        <v>53.71042064130279</v>
      </c>
      <c r="T284" s="177">
        <f t="shared" si="425"/>
        <v>12</v>
      </c>
      <c r="U284" s="222">
        <f t="shared" si="426"/>
        <v>0.54075969143638325</v>
      </c>
      <c r="V284" s="222">
        <f t="shared" si="427"/>
        <v>1.7205990182066742</v>
      </c>
      <c r="W284" s="222">
        <f t="shared" si="428"/>
        <v>1.8540332277818854</v>
      </c>
      <c r="X284" s="202">
        <f t="shared" si="429"/>
        <v>350</v>
      </c>
      <c r="Y284" s="453">
        <f t="shared" si="415"/>
        <v>279.74905701759855</v>
      </c>
      <c r="AA284" s="222">
        <f t="shared" si="430"/>
        <v>0.4322200392927309</v>
      </c>
      <c r="AB284" s="178">
        <f t="shared" si="431"/>
        <v>1.4818972775750774</v>
      </c>
      <c r="AC284" s="178">
        <f t="shared" si="432"/>
        <v>0.22417699483945183</v>
      </c>
      <c r="AD284" s="178"/>
      <c r="AE284" s="178">
        <f t="shared" si="433"/>
        <v>0.99428571428571422</v>
      </c>
      <c r="AF284" s="562">
        <f t="shared" si="434"/>
        <v>943.32144272691266</v>
      </c>
      <c r="AG284" s="545">
        <f t="shared" si="435"/>
        <v>0.10091999999999998</v>
      </c>
      <c r="AI284" s="178">
        <f t="shared" si="436"/>
        <v>0.47609522856952335</v>
      </c>
      <c r="AJ284" s="178">
        <f t="shared" si="437"/>
        <v>0.54075969143638325</v>
      </c>
      <c r="AK284" s="178">
        <f t="shared" si="438"/>
        <v>1.385747919582506</v>
      </c>
      <c r="AM284" s="562">
        <f t="shared" si="439"/>
        <v>272</v>
      </c>
      <c r="AN284" s="471">
        <f t="shared" si="440"/>
        <v>279.74905701759855</v>
      </c>
      <c r="AP284">
        <f t="shared" si="441"/>
        <v>272</v>
      </c>
      <c r="AQ284">
        <f t="shared" si="442"/>
        <v>279.74905701759855</v>
      </c>
      <c r="AS284" s="5">
        <f t="shared" si="414"/>
        <v>3.5746322459885596</v>
      </c>
      <c r="AT284" s="5">
        <f t="shared" si="443"/>
        <v>1.7205990182066742</v>
      </c>
      <c r="AU284" s="5">
        <f t="shared" si="380"/>
        <v>1.8540332277818854</v>
      </c>
      <c r="AV284" s="5"/>
      <c r="AW284" s="178">
        <f t="shared" si="381"/>
        <v>0.48133595284872299</v>
      </c>
      <c r="AX284" s="178"/>
      <c r="CD284" s="580">
        <f t="shared" si="444"/>
        <v>-50</v>
      </c>
      <c r="CE284">
        <f t="shared" si="445"/>
        <v>-50</v>
      </c>
    </row>
    <row r="285" spans="5:83" x14ac:dyDescent="0.2">
      <c r="E285" s="175">
        <v>69</v>
      </c>
      <c r="F285" s="222">
        <f t="shared" si="446"/>
        <v>0.27599999999999997</v>
      </c>
      <c r="G285" s="222"/>
      <c r="H285" s="222">
        <f t="shared" si="416"/>
        <v>3.3119999999999994</v>
      </c>
      <c r="I285" s="558">
        <f t="shared" si="417"/>
        <v>26.4</v>
      </c>
      <c r="J285" s="453">
        <f t="shared" si="418"/>
        <v>24.5</v>
      </c>
      <c r="K285" s="453">
        <f t="shared" si="419"/>
        <v>50.9</v>
      </c>
      <c r="L285" s="453"/>
      <c r="M285" s="222">
        <f t="shared" si="420"/>
        <v>0.48133595284872299</v>
      </c>
      <c r="N285" s="177">
        <f t="shared" si="421"/>
        <v>8.7521316306483303</v>
      </c>
      <c r="O285" s="177">
        <f t="shared" si="413"/>
        <v>3.3119999999999994</v>
      </c>
      <c r="P285" s="222">
        <f t="shared" si="422"/>
        <v>0.72934430255402749</v>
      </c>
      <c r="Q285" s="222">
        <f t="shared" si="423"/>
        <v>12</v>
      </c>
      <c r="R285" s="222"/>
      <c r="S285" s="177">
        <f t="shared" si="424"/>
        <v>52.742707501923519</v>
      </c>
      <c r="T285" s="177">
        <f t="shared" si="425"/>
        <v>12</v>
      </c>
      <c r="U285" s="222">
        <f t="shared" si="426"/>
        <v>0.54871203983985928</v>
      </c>
      <c r="V285" s="222">
        <f t="shared" si="427"/>
        <v>1.7459019449450068</v>
      </c>
      <c r="W285" s="222">
        <f t="shared" si="428"/>
        <v>1.8812984223080889</v>
      </c>
      <c r="X285" s="202">
        <f t="shared" si="429"/>
        <v>350</v>
      </c>
      <c r="Y285" s="453">
        <f t="shared" si="415"/>
        <v>275.69472285792335</v>
      </c>
      <c r="AA285" s="222">
        <f t="shared" si="430"/>
        <v>0.4322200392927309</v>
      </c>
      <c r="AB285" s="178">
        <f t="shared" si="431"/>
        <v>1.4818972775750774</v>
      </c>
      <c r="AC285" s="178">
        <f t="shared" si="432"/>
        <v>0.22417699483945183</v>
      </c>
      <c r="AD285" s="178"/>
      <c r="AE285" s="178">
        <f t="shared" si="433"/>
        <v>0.99428571428571422</v>
      </c>
      <c r="AF285" s="562">
        <f t="shared" si="434"/>
        <v>957.19381688466126</v>
      </c>
      <c r="AG285" s="545">
        <f t="shared" si="435"/>
        <v>0.10091999999999998</v>
      </c>
      <c r="AI285" s="178">
        <f t="shared" si="436"/>
        <v>0.47958315233127191</v>
      </c>
      <c r="AJ285" s="178">
        <f t="shared" si="437"/>
        <v>0.54871203983985928</v>
      </c>
      <c r="AK285" s="178">
        <f t="shared" si="438"/>
        <v>1.3916385480295252</v>
      </c>
      <c r="AM285" s="562">
        <f t="shared" si="439"/>
        <v>275.99999999999994</v>
      </c>
      <c r="AN285" s="471">
        <f t="shared" si="440"/>
        <v>275.69472285792335</v>
      </c>
      <c r="AP285">
        <f t="shared" si="441"/>
        <v>275.99999999999994</v>
      </c>
      <c r="AQ285">
        <f t="shared" si="442"/>
        <v>275.69472285792335</v>
      </c>
      <c r="AS285" s="5">
        <f t="shared" si="414"/>
        <v>3.6272003672530957</v>
      </c>
      <c r="AT285" s="5">
        <f t="shared" si="443"/>
        <v>1.7459019449450068</v>
      </c>
      <c r="AU285" s="5">
        <f t="shared" si="380"/>
        <v>1.8812984223080889</v>
      </c>
      <c r="AV285" s="5"/>
      <c r="AW285" s="178">
        <f t="shared" si="381"/>
        <v>0.48133595284872299</v>
      </c>
      <c r="AX285" s="178"/>
      <c r="CD285" s="580">
        <f t="shared" si="444"/>
        <v>-50</v>
      </c>
      <c r="CE285">
        <f t="shared" si="445"/>
        <v>-50</v>
      </c>
    </row>
    <row r="286" spans="5:83" x14ac:dyDescent="0.2">
      <c r="E286" s="175">
        <v>70</v>
      </c>
      <c r="F286" s="222">
        <f t="shared" si="446"/>
        <v>0.27999999999999997</v>
      </c>
      <c r="G286" s="222"/>
      <c r="H286" s="222">
        <f t="shared" si="416"/>
        <v>3.3599999999999994</v>
      </c>
      <c r="I286" s="558">
        <f t="shared" si="417"/>
        <v>26.4</v>
      </c>
      <c r="J286" s="453">
        <f t="shared" si="418"/>
        <v>24.5</v>
      </c>
      <c r="K286" s="453">
        <f t="shared" si="419"/>
        <v>50.9</v>
      </c>
      <c r="L286" s="453"/>
      <c r="M286" s="222">
        <f t="shared" si="420"/>
        <v>0.48133595284872299</v>
      </c>
      <c r="N286" s="177">
        <f t="shared" si="421"/>
        <v>8.7521316306483303</v>
      </c>
      <c r="O286" s="177">
        <f t="shared" si="413"/>
        <v>3.3599999999999994</v>
      </c>
      <c r="P286" s="222">
        <f t="shared" si="422"/>
        <v>0.72934430255402749</v>
      </c>
      <c r="Q286" s="222">
        <f t="shared" si="423"/>
        <v>12</v>
      </c>
      <c r="R286" s="222"/>
      <c r="S286" s="177">
        <f t="shared" si="424"/>
        <v>51.802683022711875</v>
      </c>
      <c r="T286" s="177">
        <f t="shared" si="425"/>
        <v>12</v>
      </c>
      <c r="U286" s="222">
        <f t="shared" si="426"/>
        <v>0.55666438824333553</v>
      </c>
      <c r="V286" s="222">
        <f t="shared" si="427"/>
        <v>1.7712048716833404</v>
      </c>
      <c r="W286" s="222">
        <f t="shared" si="428"/>
        <v>1.9085636168342932</v>
      </c>
      <c r="X286" s="202">
        <f t="shared" si="429"/>
        <v>350</v>
      </c>
      <c r="Y286" s="453">
        <f t="shared" si="415"/>
        <v>271.75622681709581</v>
      </c>
      <c r="AA286" s="222">
        <f t="shared" si="430"/>
        <v>0.4322200392927309</v>
      </c>
      <c r="AB286" s="178">
        <f t="shared" si="431"/>
        <v>1.4818972775750774</v>
      </c>
      <c r="AC286" s="178">
        <f t="shared" si="432"/>
        <v>0.22417699483945183</v>
      </c>
      <c r="AD286" s="178"/>
      <c r="AE286" s="178">
        <f t="shared" si="433"/>
        <v>0.99428571428571422</v>
      </c>
      <c r="AF286" s="562">
        <f t="shared" si="434"/>
        <v>971.06619104240997</v>
      </c>
      <c r="AG286" s="545">
        <f t="shared" si="435"/>
        <v>0.10091999999999998</v>
      </c>
      <c r="AI286" s="178">
        <f t="shared" si="436"/>
        <v>0.48304589153964794</v>
      </c>
      <c r="AJ286" s="178">
        <f t="shared" si="437"/>
        <v>0.55666438824333553</v>
      </c>
      <c r="AK286" s="178">
        <f t="shared" si="438"/>
        <v>1.3975291764765447</v>
      </c>
      <c r="AM286" s="562">
        <f t="shared" si="439"/>
        <v>279.99999999999994</v>
      </c>
      <c r="AN286" s="471">
        <f t="shared" si="440"/>
        <v>271.75622681709581</v>
      </c>
      <c r="AP286">
        <f t="shared" si="441"/>
        <v>279.99999999999994</v>
      </c>
      <c r="AQ286">
        <f t="shared" si="442"/>
        <v>271.75622681709581</v>
      </c>
      <c r="AS286" s="5">
        <f t="shared" si="414"/>
        <v>3.6797684885176341</v>
      </c>
      <c r="AT286" s="5">
        <f t="shared" si="443"/>
        <v>1.7712048716833404</v>
      </c>
      <c r="AU286" s="5">
        <f t="shared" si="380"/>
        <v>1.9085636168342937</v>
      </c>
      <c r="AV286" s="5"/>
      <c r="AW286" s="178">
        <f t="shared" si="381"/>
        <v>0.48133595284872294</v>
      </c>
      <c r="AX286" s="178"/>
      <c r="CD286" s="580">
        <f t="shared" si="444"/>
        <v>-50</v>
      </c>
      <c r="CE286">
        <f t="shared" si="445"/>
        <v>-50</v>
      </c>
    </row>
    <row r="287" spans="5:83" x14ac:dyDescent="0.2">
      <c r="E287" s="175">
        <v>71</v>
      </c>
      <c r="F287" s="222">
        <f t="shared" si="446"/>
        <v>0.28399999999999997</v>
      </c>
      <c r="G287" s="222"/>
      <c r="H287" s="222">
        <f t="shared" si="416"/>
        <v>3.4079999999999995</v>
      </c>
      <c r="I287" s="558">
        <f t="shared" si="417"/>
        <v>26.4</v>
      </c>
      <c r="J287" s="453">
        <f t="shared" si="418"/>
        <v>24.5</v>
      </c>
      <c r="K287" s="453">
        <f t="shared" si="419"/>
        <v>50.9</v>
      </c>
      <c r="L287" s="453"/>
      <c r="M287" s="222">
        <f t="shared" si="420"/>
        <v>0.48133595284872299</v>
      </c>
      <c r="N287" s="177">
        <f t="shared" si="421"/>
        <v>8.7521316306483303</v>
      </c>
      <c r="O287" s="177">
        <f t="shared" si="413"/>
        <v>3.4079999999999995</v>
      </c>
      <c r="P287" s="222">
        <f t="shared" si="422"/>
        <v>0.72934430255402749</v>
      </c>
      <c r="Q287" s="222">
        <f t="shared" si="423"/>
        <v>12</v>
      </c>
      <c r="R287" s="222"/>
      <c r="S287" s="177">
        <f t="shared" si="424"/>
        <v>50.889177669584456</v>
      </c>
      <c r="T287" s="177">
        <f t="shared" si="425"/>
        <v>12</v>
      </c>
      <c r="U287" s="222">
        <f t="shared" si="426"/>
        <v>0.56461673664681178</v>
      </c>
      <c r="V287" s="222">
        <f t="shared" si="427"/>
        <v>1.7965077984216737</v>
      </c>
      <c r="W287" s="222">
        <f t="shared" si="428"/>
        <v>1.9358288113604973</v>
      </c>
      <c r="X287" s="202">
        <f t="shared" si="429"/>
        <v>350</v>
      </c>
      <c r="Y287" s="453">
        <f t="shared" si="415"/>
        <v>267.92867432671426</v>
      </c>
      <c r="AA287" s="222">
        <f t="shared" si="430"/>
        <v>0.4322200392927309</v>
      </c>
      <c r="AB287" s="178">
        <f t="shared" si="431"/>
        <v>1.4818972775750774</v>
      </c>
      <c r="AC287" s="178">
        <f t="shared" si="432"/>
        <v>0.22417699483945183</v>
      </c>
      <c r="AD287" s="178"/>
      <c r="AE287" s="178">
        <f t="shared" si="433"/>
        <v>0.99428571428571422</v>
      </c>
      <c r="AF287" s="562">
        <f t="shared" si="434"/>
        <v>984.93856520015879</v>
      </c>
      <c r="AG287" s="545">
        <f t="shared" si="435"/>
        <v>0.10091999999999998</v>
      </c>
      <c r="AI287" s="178">
        <f t="shared" si="436"/>
        <v>0.4864839839775475</v>
      </c>
      <c r="AJ287" s="178">
        <f t="shared" si="437"/>
        <v>0.56461673664681178</v>
      </c>
      <c r="AK287" s="178">
        <f t="shared" si="438"/>
        <v>1.4034198049235642</v>
      </c>
      <c r="AM287" s="562">
        <f t="shared" si="439"/>
        <v>284</v>
      </c>
      <c r="AN287" s="471">
        <f t="shared" si="440"/>
        <v>267.92867432671426</v>
      </c>
      <c r="AP287">
        <f t="shared" si="441"/>
        <v>284</v>
      </c>
      <c r="AQ287">
        <f t="shared" si="442"/>
        <v>267.92867432671426</v>
      </c>
      <c r="AS287" s="5">
        <f t="shared" si="414"/>
        <v>3.7323366097821706</v>
      </c>
      <c r="AT287" s="5">
        <f t="shared" si="443"/>
        <v>1.7965077984216737</v>
      </c>
      <c r="AU287" s="5">
        <f t="shared" si="380"/>
        <v>1.9358288113604969</v>
      </c>
      <c r="AV287" s="5"/>
      <c r="AW287" s="178">
        <f t="shared" si="381"/>
        <v>0.48133595284872305</v>
      </c>
      <c r="AX287" s="178"/>
      <c r="CD287" s="580">
        <f t="shared" si="444"/>
        <v>-50</v>
      </c>
      <c r="CE287">
        <f t="shared" si="445"/>
        <v>-50</v>
      </c>
    </row>
    <row r="288" spans="5:83" x14ac:dyDescent="0.2">
      <c r="E288" s="175">
        <v>72</v>
      </c>
      <c r="F288" s="222">
        <f t="shared" si="446"/>
        <v>0.28799999999999998</v>
      </c>
      <c r="G288" s="222"/>
      <c r="H288" s="222">
        <f t="shared" si="416"/>
        <v>3.4559999999999995</v>
      </c>
      <c r="I288" s="558">
        <f t="shared" si="417"/>
        <v>26.4</v>
      </c>
      <c r="J288" s="453">
        <f t="shared" si="418"/>
        <v>24.5</v>
      </c>
      <c r="K288" s="453">
        <f t="shared" si="419"/>
        <v>50.9</v>
      </c>
      <c r="L288" s="453"/>
      <c r="M288" s="222">
        <f t="shared" si="420"/>
        <v>0.48133595284872299</v>
      </c>
      <c r="N288" s="177">
        <f t="shared" si="421"/>
        <v>8.7521316306483303</v>
      </c>
      <c r="O288" s="177">
        <f t="shared" si="413"/>
        <v>3.4559999999999995</v>
      </c>
      <c r="P288" s="222">
        <f t="shared" si="422"/>
        <v>0.72934430255402749</v>
      </c>
      <c r="Q288" s="222">
        <f t="shared" si="423"/>
        <v>12</v>
      </c>
      <c r="R288" s="222"/>
      <c r="S288" s="177">
        <f t="shared" si="424"/>
        <v>50.001086888036262</v>
      </c>
      <c r="T288" s="177">
        <f t="shared" si="425"/>
        <v>12</v>
      </c>
      <c r="U288" s="222">
        <f t="shared" si="426"/>
        <v>0.57256908505028803</v>
      </c>
      <c r="V288" s="222">
        <f t="shared" si="427"/>
        <v>1.8218107251600073</v>
      </c>
      <c r="W288" s="222">
        <f t="shared" si="428"/>
        <v>1.9630940058867017</v>
      </c>
      <c r="X288" s="202">
        <f t="shared" si="429"/>
        <v>350</v>
      </c>
      <c r="Y288" s="453">
        <f t="shared" si="415"/>
        <v>264.20744273884316</v>
      </c>
      <c r="AA288" s="222">
        <f t="shared" si="430"/>
        <v>0.4322200392927309</v>
      </c>
      <c r="AB288" s="178">
        <f t="shared" si="431"/>
        <v>1.4818972775750774</v>
      </c>
      <c r="AC288" s="178">
        <f t="shared" si="432"/>
        <v>0.22417699483945183</v>
      </c>
      <c r="AD288" s="178"/>
      <c r="AE288" s="178">
        <f t="shared" si="433"/>
        <v>0.99428571428571422</v>
      </c>
      <c r="AF288" s="562">
        <f t="shared" si="434"/>
        <v>998.81093935790739</v>
      </c>
      <c r="AG288" s="545">
        <f t="shared" si="435"/>
        <v>0.10091999999999998</v>
      </c>
      <c r="AI288" s="178">
        <f t="shared" si="436"/>
        <v>0.4898979485566356</v>
      </c>
      <c r="AJ288" s="178">
        <f t="shared" si="437"/>
        <v>0.57256908505028803</v>
      </c>
      <c r="AK288" s="178">
        <f t="shared" si="438"/>
        <v>1.4093104333705837</v>
      </c>
      <c r="AM288" s="562">
        <f t="shared" si="439"/>
        <v>288</v>
      </c>
      <c r="AN288" s="471">
        <f t="shared" si="440"/>
        <v>264.20744273884316</v>
      </c>
      <c r="AP288">
        <f t="shared" si="441"/>
        <v>288</v>
      </c>
      <c r="AQ288">
        <f t="shared" si="442"/>
        <v>264.20744273884316</v>
      </c>
      <c r="AS288" s="5">
        <f t="shared" si="414"/>
        <v>3.7849047310467094</v>
      </c>
      <c r="AT288" s="5">
        <f t="shared" si="443"/>
        <v>1.8218107251600073</v>
      </c>
      <c r="AU288" s="5">
        <f t="shared" si="380"/>
        <v>1.9630940058867021</v>
      </c>
      <c r="AV288" s="5"/>
      <c r="AW288" s="178">
        <f t="shared" si="381"/>
        <v>0.48133595284872294</v>
      </c>
      <c r="AX288" s="178"/>
      <c r="CD288" s="580">
        <f t="shared" si="444"/>
        <v>-50</v>
      </c>
      <c r="CE288">
        <f t="shared" si="445"/>
        <v>-50</v>
      </c>
    </row>
    <row r="289" spans="5:83" x14ac:dyDescent="0.2">
      <c r="E289" s="175">
        <v>73</v>
      </c>
      <c r="F289" s="222">
        <f t="shared" si="446"/>
        <v>0.29199999999999998</v>
      </c>
      <c r="G289" s="222"/>
      <c r="H289" s="222">
        <f t="shared" si="416"/>
        <v>3.5039999999999996</v>
      </c>
      <c r="I289" s="558">
        <f t="shared" si="417"/>
        <v>26.4</v>
      </c>
      <c r="J289" s="453">
        <f t="shared" si="418"/>
        <v>24.5</v>
      </c>
      <c r="K289" s="453">
        <f t="shared" si="419"/>
        <v>50.9</v>
      </c>
      <c r="L289" s="453"/>
      <c r="M289" s="222">
        <f t="shared" si="420"/>
        <v>0.48133595284872299</v>
      </c>
      <c r="N289" s="177">
        <f t="shared" si="421"/>
        <v>8.7521316306483303</v>
      </c>
      <c r="O289" s="177">
        <f t="shared" si="413"/>
        <v>3.5039999999999996</v>
      </c>
      <c r="P289" s="222">
        <f t="shared" si="422"/>
        <v>0.72934430255402749</v>
      </c>
      <c r="Q289" s="222">
        <f t="shared" si="423"/>
        <v>12</v>
      </c>
      <c r="R289" s="222"/>
      <c r="S289" s="177">
        <f t="shared" si="424"/>
        <v>49.137366652572787</v>
      </c>
      <c r="T289" s="177">
        <f t="shared" si="425"/>
        <v>12</v>
      </c>
      <c r="U289" s="222">
        <f t="shared" si="426"/>
        <v>0.58052143345376417</v>
      </c>
      <c r="V289" s="222">
        <f t="shared" si="427"/>
        <v>1.8471136518983404</v>
      </c>
      <c r="W289" s="222">
        <f t="shared" si="428"/>
        <v>1.9903592004129056</v>
      </c>
      <c r="X289" s="202">
        <f t="shared" si="429"/>
        <v>350</v>
      </c>
      <c r="Y289" s="453">
        <f t="shared" si="415"/>
        <v>260.58816270132485</v>
      </c>
      <c r="AA289" s="222">
        <f t="shared" si="430"/>
        <v>0.4322200392927309</v>
      </c>
      <c r="AB289" s="178">
        <f t="shared" si="431"/>
        <v>1.4818972775750774</v>
      </c>
      <c r="AC289" s="178">
        <f t="shared" si="432"/>
        <v>0.22417699483945183</v>
      </c>
      <c r="AD289" s="178"/>
      <c r="AE289" s="178">
        <f t="shared" si="433"/>
        <v>0.99428571428571422</v>
      </c>
      <c r="AF289" s="562">
        <f t="shared" si="434"/>
        <v>1012.6833135156562</v>
      </c>
      <c r="AG289" s="545">
        <f t="shared" si="435"/>
        <v>0.10091999999999998</v>
      </c>
      <c r="AI289" s="178">
        <f t="shared" si="436"/>
        <v>0.49328828623162474</v>
      </c>
      <c r="AJ289" s="178">
        <f t="shared" si="437"/>
        <v>0.58052143345376417</v>
      </c>
      <c r="AK289" s="178">
        <f t="shared" si="438"/>
        <v>1.4152010618176032</v>
      </c>
      <c r="AM289" s="562">
        <f t="shared" si="439"/>
        <v>292</v>
      </c>
      <c r="AN289" s="471">
        <f t="shared" si="440"/>
        <v>260.58816270132485</v>
      </c>
      <c r="AP289">
        <f t="shared" si="441"/>
        <v>292</v>
      </c>
      <c r="AQ289">
        <f t="shared" si="442"/>
        <v>260.58816270132485</v>
      </c>
      <c r="AS289" s="5">
        <f t="shared" si="414"/>
        <v>3.8374728523112456</v>
      </c>
      <c r="AT289" s="5">
        <f t="shared" si="443"/>
        <v>1.8471136518983404</v>
      </c>
      <c r="AU289" s="5">
        <f t="shared" si="380"/>
        <v>1.9903592004129051</v>
      </c>
      <c r="AV289" s="5"/>
      <c r="AW289" s="178">
        <f t="shared" si="381"/>
        <v>0.48133595284872305</v>
      </c>
      <c r="AX289" s="178"/>
      <c r="CD289" s="580">
        <f t="shared" si="444"/>
        <v>-50</v>
      </c>
      <c r="CE289">
        <f t="shared" si="445"/>
        <v>-50</v>
      </c>
    </row>
    <row r="290" spans="5:83" x14ac:dyDescent="0.2">
      <c r="E290" s="175">
        <v>74</v>
      </c>
      <c r="F290" s="222">
        <f t="shared" si="446"/>
        <v>0.29599999999999999</v>
      </c>
      <c r="G290" s="222"/>
      <c r="H290" s="222">
        <f t="shared" si="416"/>
        <v>3.5519999999999996</v>
      </c>
      <c r="I290" s="558">
        <f t="shared" si="417"/>
        <v>26.4</v>
      </c>
      <c r="J290" s="453">
        <f t="shared" si="418"/>
        <v>24.5</v>
      </c>
      <c r="K290" s="453">
        <f t="shared" si="419"/>
        <v>50.9</v>
      </c>
      <c r="L290" s="453"/>
      <c r="M290" s="222">
        <f t="shared" si="420"/>
        <v>0.48133595284872299</v>
      </c>
      <c r="N290" s="177">
        <f t="shared" si="421"/>
        <v>8.7521316306483303</v>
      </c>
      <c r="O290" s="177">
        <f t="shared" si="413"/>
        <v>3.5519999999999996</v>
      </c>
      <c r="P290" s="222">
        <f t="shared" si="422"/>
        <v>0.72934430255402749</v>
      </c>
      <c r="Q290" s="222">
        <f t="shared" si="423"/>
        <v>12</v>
      </c>
      <c r="R290" s="222"/>
      <c r="S290" s="177">
        <f t="shared" si="424"/>
        <v>48.297029377000648</v>
      </c>
      <c r="T290" s="177">
        <f t="shared" si="425"/>
        <v>12</v>
      </c>
      <c r="U290" s="222">
        <f t="shared" si="426"/>
        <v>0.58847378185724042</v>
      </c>
      <c r="V290" s="222">
        <f t="shared" si="427"/>
        <v>1.872416578636674</v>
      </c>
      <c r="W290" s="222">
        <f t="shared" si="428"/>
        <v>2.0176243949391099</v>
      </c>
      <c r="X290" s="202">
        <f t="shared" si="429"/>
        <v>350</v>
      </c>
      <c r="Y290" s="453">
        <f t="shared" si="415"/>
        <v>257.0667010431988</v>
      </c>
      <c r="AA290" s="222">
        <f t="shared" si="430"/>
        <v>0.4322200392927309</v>
      </c>
      <c r="AB290" s="178">
        <f t="shared" si="431"/>
        <v>1.4818972775750774</v>
      </c>
      <c r="AC290" s="178">
        <f t="shared" si="432"/>
        <v>0.22417699483945183</v>
      </c>
      <c r="AD290" s="178"/>
      <c r="AE290" s="178">
        <f t="shared" si="433"/>
        <v>0.99428571428571422</v>
      </c>
      <c r="AF290" s="562">
        <f t="shared" si="434"/>
        <v>1026.5556876734049</v>
      </c>
      <c r="AG290" s="545">
        <f t="shared" si="435"/>
        <v>0.10091999999999998</v>
      </c>
      <c r="AI290" s="178">
        <f t="shared" si="436"/>
        <v>0.49665548085837802</v>
      </c>
      <c r="AJ290" s="178">
        <f t="shared" si="437"/>
        <v>0.58847378185724042</v>
      </c>
      <c r="AK290" s="178">
        <f t="shared" si="438"/>
        <v>1.4210916902646225</v>
      </c>
      <c r="AM290" s="562">
        <f t="shared" si="439"/>
        <v>296</v>
      </c>
      <c r="AN290" s="471">
        <f t="shared" si="440"/>
        <v>257.0667010431988</v>
      </c>
      <c r="AP290">
        <f t="shared" si="441"/>
        <v>296</v>
      </c>
      <c r="AQ290">
        <f t="shared" si="442"/>
        <v>257.0667010431988</v>
      </c>
      <c r="AS290" s="5">
        <f t="shared" si="414"/>
        <v>3.8900409735757839</v>
      </c>
      <c r="AT290" s="5">
        <f t="shared" si="443"/>
        <v>1.872416578636674</v>
      </c>
      <c r="AU290" s="5">
        <f t="shared" si="380"/>
        <v>2.0176243949391099</v>
      </c>
      <c r="AV290" s="5"/>
      <c r="AW290" s="178">
        <f t="shared" si="381"/>
        <v>0.48133595284872299</v>
      </c>
      <c r="AX290" s="178"/>
      <c r="CD290" s="580">
        <f t="shared" si="444"/>
        <v>-50</v>
      </c>
      <c r="CE290">
        <f t="shared" si="445"/>
        <v>-50</v>
      </c>
    </row>
    <row r="291" spans="5:83" x14ac:dyDescent="0.2">
      <c r="E291" s="175">
        <v>75</v>
      </c>
      <c r="F291" s="222">
        <f t="shared" si="446"/>
        <v>0.30000000000000004</v>
      </c>
      <c r="G291" s="222"/>
      <c r="H291" s="222">
        <f t="shared" si="416"/>
        <v>3.6000000000000005</v>
      </c>
      <c r="I291" s="558">
        <f t="shared" si="417"/>
        <v>26.4</v>
      </c>
      <c r="J291" s="453">
        <f t="shared" si="418"/>
        <v>24.5</v>
      </c>
      <c r="K291" s="453">
        <f t="shared" si="419"/>
        <v>50.9</v>
      </c>
      <c r="L291" s="453"/>
      <c r="M291" s="222">
        <f t="shared" si="420"/>
        <v>0.48133595284872299</v>
      </c>
      <c r="N291" s="177">
        <f t="shared" si="421"/>
        <v>8.7521316306483303</v>
      </c>
      <c r="O291" s="177">
        <f t="shared" si="413"/>
        <v>3.6000000000000005</v>
      </c>
      <c r="P291" s="222">
        <f t="shared" si="422"/>
        <v>0.72934430255402749</v>
      </c>
      <c r="Q291" s="222">
        <f t="shared" si="423"/>
        <v>12</v>
      </c>
      <c r="R291" s="222"/>
      <c r="S291" s="177">
        <f t="shared" si="424"/>
        <v>47.479140151896665</v>
      </c>
      <c r="T291" s="177">
        <f t="shared" si="425"/>
        <v>12</v>
      </c>
      <c r="U291" s="222">
        <f t="shared" si="426"/>
        <v>0.59642613026071678</v>
      </c>
      <c r="V291" s="222">
        <f t="shared" si="427"/>
        <v>1.897719505375008</v>
      </c>
      <c r="W291" s="222">
        <f t="shared" si="428"/>
        <v>2.0448895894653143</v>
      </c>
      <c r="X291" s="202">
        <f t="shared" si="429"/>
        <v>350</v>
      </c>
      <c r="Y291" s="453">
        <f t="shared" si="415"/>
        <v>253.63914502928941</v>
      </c>
      <c r="AA291" s="222">
        <f t="shared" si="430"/>
        <v>0.4322200392927309</v>
      </c>
      <c r="AB291" s="178">
        <f t="shared" si="431"/>
        <v>1.4818972775750774</v>
      </c>
      <c r="AC291" s="178">
        <f t="shared" si="432"/>
        <v>0.22417699483945183</v>
      </c>
      <c r="AD291" s="178"/>
      <c r="AE291" s="178">
        <f t="shared" si="433"/>
        <v>0.99428571428571422</v>
      </c>
      <c r="AF291" s="562">
        <f t="shared" si="434"/>
        <v>1040.4280618311539</v>
      </c>
      <c r="AG291" s="545">
        <f t="shared" si="435"/>
        <v>0.10091999999999998</v>
      </c>
      <c r="AI291" s="178">
        <f t="shared" si="436"/>
        <v>0.5</v>
      </c>
      <c r="AJ291" s="178">
        <f t="shared" si="437"/>
        <v>0.59642613026071678</v>
      </c>
      <c r="AK291" s="178">
        <f t="shared" si="438"/>
        <v>1.4269823187116422</v>
      </c>
      <c r="AM291" s="562">
        <f t="shared" si="439"/>
        <v>300.00000000000006</v>
      </c>
      <c r="AN291" s="471">
        <f t="shared" si="440"/>
        <v>253.63914502928941</v>
      </c>
      <c r="AP291">
        <f t="shared" si="441"/>
        <v>300.00000000000006</v>
      </c>
      <c r="AQ291">
        <f t="shared" si="442"/>
        <v>253.63914502928941</v>
      </c>
      <c r="AS291" s="5">
        <f t="shared" si="414"/>
        <v>3.9426090948403227</v>
      </c>
      <c r="AT291" s="5">
        <f t="shared" si="443"/>
        <v>1.897719505375008</v>
      </c>
      <c r="AU291" s="5">
        <f t="shared" si="380"/>
        <v>2.0448895894653147</v>
      </c>
      <c r="AV291" s="5"/>
      <c r="AW291" s="178">
        <f t="shared" si="381"/>
        <v>0.48133595284872299</v>
      </c>
      <c r="AX291" s="178"/>
      <c r="CD291" s="580">
        <f t="shared" si="444"/>
        <v>-50</v>
      </c>
      <c r="CE291">
        <f t="shared" si="445"/>
        <v>-50</v>
      </c>
    </row>
    <row r="292" spans="5:83" x14ac:dyDescent="0.2">
      <c r="E292" s="175">
        <v>76</v>
      </c>
      <c r="F292" s="222">
        <f t="shared" si="446"/>
        <v>0.30400000000000005</v>
      </c>
      <c r="G292" s="222"/>
      <c r="H292" s="222">
        <f t="shared" si="416"/>
        <v>3.6480000000000006</v>
      </c>
      <c r="I292" s="558">
        <f t="shared" si="417"/>
        <v>26.4</v>
      </c>
      <c r="J292" s="453">
        <f t="shared" si="418"/>
        <v>24.5</v>
      </c>
      <c r="K292" s="453">
        <f t="shared" si="419"/>
        <v>50.9</v>
      </c>
      <c r="L292" s="453"/>
      <c r="M292" s="222">
        <f t="shared" si="420"/>
        <v>0.48133595284872299</v>
      </c>
      <c r="N292" s="177">
        <f t="shared" si="421"/>
        <v>8.7521316306483303</v>
      </c>
      <c r="O292" s="177">
        <f t="shared" si="413"/>
        <v>3.6480000000000006</v>
      </c>
      <c r="P292" s="222">
        <f t="shared" si="422"/>
        <v>0.72934430255402749</v>
      </c>
      <c r="Q292" s="222">
        <f t="shared" si="423"/>
        <v>12</v>
      </c>
      <c r="R292" s="222"/>
      <c r="S292" s="177">
        <f t="shared" si="424"/>
        <v>46.682813279120374</v>
      </c>
      <c r="T292" s="177">
        <f t="shared" si="425"/>
        <v>12</v>
      </c>
      <c r="U292" s="222">
        <f t="shared" si="426"/>
        <v>0.60437847866419303</v>
      </c>
      <c r="V292" s="222">
        <f t="shared" si="427"/>
        <v>1.9230224321133411</v>
      </c>
      <c r="W292" s="222">
        <f t="shared" si="428"/>
        <v>2.0721547839915186</v>
      </c>
      <c r="X292" s="202">
        <f t="shared" si="429"/>
        <v>350</v>
      </c>
      <c r="Y292" s="453">
        <f t="shared" si="415"/>
        <v>250.30178785785139</v>
      </c>
      <c r="AA292" s="222">
        <f t="shared" si="430"/>
        <v>0.4322200392927309</v>
      </c>
      <c r="AB292" s="178">
        <f t="shared" si="431"/>
        <v>1.4818972775750774</v>
      </c>
      <c r="AC292" s="178">
        <f t="shared" si="432"/>
        <v>0.22417699483945183</v>
      </c>
      <c r="AD292" s="178"/>
      <c r="AE292" s="178">
        <f t="shared" si="433"/>
        <v>0.99428571428571422</v>
      </c>
      <c r="AF292" s="562">
        <f t="shared" si="434"/>
        <v>1054.3004359889026</v>
      </c>
      <c r="AG292" s="545">
        <f t="shared" si="435"/>
        <v>0.10091999999999998</v>
      </c>
      <c r="AI292" s="178">
        <f t="shared" si="436"/>
        <v>0.50332229568471676</v>
      </c>
      <c r="AJ292" s="178">
        <f t="shared" si="437"/>
        <v>0.60437847866419303</v>
      </c>
      <c r="AK292" s="178">
        <f t="shared" si="438"/>
        <v>1.4328729471586614</v>
      </c>
      <c r="AM292" s="562">
        <f t="shared" si="439"/>
        <v>304.00000000000006</v>
      </c>
      <c r="AN292" s="471">
        <f t="shared" si="440"/>
        <v>250.30178785785139</v>
      </c>
      <c r="AP292">
        <f t="shared" si="441"/>
        <v>304.00000000000006</v>
      </c>
      <c r="AQ292">
        <f t="shared" si="442"/>
        <v>250.30178785785139</v>
      </c>
      <c r="AS292" s="5">
        <f t="shared" si="414"/>
        <v>3.9951772161048607</v>
      </c>
      <c r="AT292" s="5">
        <f t="shared" si="443"/>
        <v>1.9230224321133411</v>
      </c>
      <c r="AU292" s="5">
        <f t="shared" si="380"/>
        <v>2.0721547839915195</v>
      </c>
      <c r="AV292" s="5"/>
      <c r="AW292" s="178">
        <f t="shared" si="381"/>
        <v>0.48133595284872288</v>
      </c>
      <c r="AX292" s="178"/>
      <c r="CD292" s="580">
        <f t="shared" si="444"/>
        <v>-50</v>
      </c>
      <c r="CE292">
        <f t="shared" si="445"/>
        <v>-50</v>
      </c>
    </row>
    <row r="293" spans="5:83" x14ac:dyDescent="0.2">
      <c r="E293" s="175">
        <v>77</v>
      </c>
      <c r="F293" s="222">
        <f t="shared" si="446"/>
        <v>0.30800000000000005</v>
      </c>
      <c r="G293" s="222"/>
      <c r="H293" s="222">
        <f t="shared" si="416"/>
        <v>3.6960000000000006</v>
      </c>
      <c r="I293" s="558">
        <f t="shared" si="417"/>
        <v>26.4</v>
      </c>
      <c r="J293" s="453">
        <f t="shared" si="418"/>
        <v>24.5</v>
      </c>
      <c r="K293" s="453">
        <f t="shared" si="419"/>
        <v>50.9</v>
      </c>
      <c r="L293" s="453"/>
      <c r="M293" s="222">
        <f t="shared" si="420"/>
        <v>0.48133595284872299</v>
      </c>
      <c r="N293" s="177">
        <f t="shared" si="421"/>
        <v>8.7521316306483303</v>
      </c>
      <c r="O293" s="177">
        <f t="shared" si="413"/>
        <v>3.6960000000000006</v>
      </c>
      <c r="P293" s="222">
        <f t="shared" si="422"/>
        <v>0.72934430255402749</v>
      </c>
      <c r="Q293" s="222">
        <f t="shared" si="423"/>
        <v>12</v>
      </c>
      <c r="R293" s="222"/>
      <c r="S293" s="177">
        <f t="shared" si="424"/>
        <v>45.907209076366371</v>
      </c>
      <c r="T293" s="177">
        <f t="shared" si="425"/>
        <v>12</v>
      </c>
      <c r="U293" s="222">
        <f t="shared" si="426"/>
        <v>0.61233082706766928</v>
      </c>
      <c r="V293" s="222">
        <f t="shared" si="427"/>
        <v>1.9483253588516751</v>
      </c>
      <c r="W293" s="222">
        <f t="shared" si="428"/>
        <v>2.099419978517723</v>
      </c>
      <c r="X293" s="202">
        <f t="shared" si="429"/>
        <v>350</v>
      </c>
      <c r="Y293" s="453">
        <f t="shared" si="415"/>
        <v>247.0511152882689</v>
      </c>
      <c r="AA293" s="222">
        <f t="shared" si="430"/>
        <v>0.4322200392927309</v>
      </c>
      <c r="AB293" s="178">
        <f t="shared" si="431"/>
        <v>1.4818972775750774</v>
      </c>
      <c r="AC293" s="178">
        <f t="shared" si="432"/>
        <v>0.22417699483945183</v>
      </c>
      <c r="AD293" s="178"/>
      <c r="AE293" s="178">
        <f t="shared" si="433"/>
        <v>0.99428571428571422</v>
      </c>
      <c r="AF293" s="562">
        <f t="shared" si="434"/>
        <v>1068.1728101466513</v>
      </c>
      <c r="AG293" s="545">
        <f t="shared" si="435"/>
        <v>0.10091999999999998</v>
      </c>
      <c r="AI293" s="178">
        <f t="shared" si="436"/>
        <v>0.50662280511902213</v>
      </c>
      <c r="AJ293" s="178">
        <f t="shared" si="437"/>
        <v>0.61233082706766928</v>
      </c>
      <c r="AK293" s="178">
        <f t="shared" si="438"/>
        <v>1.4387635756056809</v>
      </c>
      <c r="AM293" s="562">
        <f t="shared" si="439"/>
        <v>308.00000000000006</v>
      </c>
      <c r="AN293" s="471">
        <f t="shared" si="440"/>
        <v>247.0511152882689</v>
      </c>
      <c r="AP293">
        <f t="shared" si="441"/>
        <v>308.00000000000006</v>
      </c>
      <c r="AQ293">
        <f t="shared" si="442"/>
        <v>247.0511152882689</v>
      </c>
      <c r="AS293" s="5">
        <f t="shared" si="414"/>
        <v>4.0477453373693981</v>
      </c>
      <c r="AT293" s="5">
        <f t="shared" si="443"/>
        <v>1.9483253588516751</v>
      </c>
      <c r="AU293" s="5">
        <f t="shared" si="380"/>
        <v>2.099419978517723</v>
      </c>
      <c r="AV293" s="5"/>
      <c r="AW293" s="178">
        <f t="shared" si="381"/>
        <v>0.48133595284872305</v>
      </c>
      <c r="AX293" s="178"/>
      <c r="CD293" s="580">
        <f t="shared" si="444"/>
        <v>-50</v>
      </c>
      <c r="CE293">
        <f t="shared" si="445"/>
        <v>-50</v>
      </c>
    </row>
    <row r="294" spans="5:83" x14ac:dyDescent="0.2">
      <c r="E294" s="175">
        <v>78</v>
      </c>
      <c r="F294" s="222">
        <f t="shared" si="446"/>
        <v>0.31200000000000006</v>
      </c>
      <c r="G294" s="222"/>
      <c r="H294" s="222">
        <f t="shared" si="416"/>
        <v>3.7440000000000007</v>
      </c>
      <c r="I294" s="558">
        <f t="shared" si="417"/>
        <v>26.4</v>
      </c>
      <c r="J294" s="453">
        <f t="shared" si="418"/>
        <v>24.5</v>
      </c>
      <c r="K294" s="453">
        <f t="shared" si="419"/>
        <v>50.9</v>
      </c>
      <c r="L294" s="453"/>
      <c r="M294" s="222">
        <f t="shared" si="420"/>
        <v>0.48133595284872299</v>
      </c>
      <c r="N294" s="177">
        <f t="shared" si="421"/>
        <v>8.7521316306483303</v>
      </c>
      <c r="O294" s="177">
        <f t="shared" si="413"/>
        <v>3.7440000000000007</v>
      </c>
      <c r="P294" s="222">
        <f t="shared" si="422"/>
        <v>0.72934430255402749</v>
      </c>
      <c r="Q294" s="222">
        <f t="shared" si="423"/>
        <v>12</v>
      </c>
      <c r="R294" s="222"/>
      <c r="S294" s="177">
        <f t="shared" si="424"/>
        <v>45.151530927521897</v>
      </c>
      <c r="T294" s="177">
        <f t="shared" si="425"/>
        <v>12</v>
      </c>
      <c r="U294" s="222">
        <f t="shared" si="426"/>
        <v>0.62028317547114553</v>
      </c>
      <c r="V294" s="222">
        <f t="shared" si="427"/>
        <v>1.9736282855900085</v>
      </c>
      <c r="W294" s="222">
        <f t="shared" si="428"/>
        <v>2.1266851730439273</v>
      </c>
      <c r="X294" s="202">
        <f t="shared" si="429"/>
        <v>350</v>
      </c>
      <c r="Y294" s="453">
        <f t="shared" si="415"/>
        <v>243.88379329739362</v>
      </c>
      <c r="AA294" s="222">
        <f t="shared" si="430"/>
        <v>0.4322200392927309</v>
      </c>
      <c r="AB294" s="178">
        <f t="shared" si="431"/>
        <v>1.4818972775750774</v>
      </c>
      <c r="AC294" s="178">
        <f t="shared" si="432"/>
        <v>0.22417699483945183</v>
      </c>
      <c r="AD294" s="178"/>
      <c r="AE294" s="178">
        <f t="shared" si="433"/>
        <v>0.99428571428571422</v>
      </c>
      <c r="AF294" s="562">
        <f t="shared" si="434"/>
        <v>1082.0451843044</v>
      </c>
      <c r="AG294" s="545">
        <f t="shared" si="435"/>
        <v>0.10091999999999998</v>
      </c>
      <c r="AI294" s="178">
        <f t="shared" si="436"/>
        <v>0.50990195135927852</v>
      </c>
      <c r="AJ294" s="178">
        <f t="shared" si="437"/>
        <v>0.62028317547114553</v>
      </c>
      <c r="AK294" s="178">
        <f t="shared" si="438"/>
        <v>1.4446542040527004</v>
      </c>
      <c r="AM294" s="562">
        <f t="shared" si="439"/>
        <v>312.00000000000006</v>
      </c>
      <c r="AN294" s="471">
        <f t="shared" si="440"/>
        <v>243.88379329739362</v>
      </c>
      <c r="AP294">
        <f t="shared" si="441"/>
        <v>312.00000000000006</v>
      </c>
      <c r="AQ294">
        <f t="shared" si="442"/>
        <v>243.88379329739362</v>
      </c>
      <c r="AS294" s="5">
        <f t="shared" si="414"/>
        <v>4.100313458633936</v>
      </c>
      <c r="AT294" s="5">
        <f t="shared" si="443"/>
        <v>1.9736282855900085</v>
      </c>
      <c r="AU294" s="5">
        <f t="shared" si="380"/>
        <v>2.1266851730439278</v>
      </c>
      <c r="AV294" s="5"/>
      <c r="AW294" s="178">
        <f t="shared" si="381"/>
        <v>0.48133595284872299</v>
      </c>
      <c r="AX294" s="178"/>
      <c r="CD294" s="580">
        <f t="shared" si="444"/>
        <v>-50</v>
      </c>
      <c r="CE294">
        <f t="shared" si="445"/>
        <v>-50</v>
      </c>
    </row>
    <row r="295" spans="5:83" x14ac:dyDescent="0.2">
      <c r="E295" s="175">
        <v>79</v>
      </c>
      <c r="F295" s="222">
        <f t="shared" si="446"/>
        <v>0.31600000000000006</v>
      </c>
      <c r="G295" s="222"/>
      <c r="H295" s="222">
        <f t="shared" si="416"/>
        <v>3.7920000000000007</v>
      </c>
      <c r="I295" s="558">
        <f t="shared" si="417"/>
        <v>26.4</v>
      </c>
      <c r="J295" s="453">
        <f t="shared" si="418"/>
        <v>24.5</v>
      </c>
      <c r="K295" s="453">
        <f t="shared" si="419"/>
        <v>50.9</v>
      </c>
      <c r="L295" s="453"/>
      <c r="M295" s="222">
        <f t="shared" si="420"/>
        <v>0.48133595284872299</v>
      </c>
      <c r="N295" s="177">
        <f t="shared" si="421"/>
        <v>8.7521316306483303</v>
      </c>
      <c r="O295" s="177">
        <f t="shared" si="413"/>
        <v>3.7920000000000007</v>
      </c>
      <c r="P295" s="222">
        <f t="shared" si="422"/>
        <v>0.72934430255402749</v>
      </c>
      <c r="Q295" s="222">
        <f t="shared" si="423"/>
        <v>12</v>
      </c>
      <c r="R295" s="222"/>
      <c r="S295" s="177">
        <f t="shared" si="424"/>
        <v>44.415022557049696</v>
      </c>
      <c r="T295" s="177">
        <f t="shared" si="425"/>
        <v>12</v>
      </c>
      <c r="U295" s="222">
        <f t="shared" si="426"/>
        <v>0.62823552387462178</v>
      </c>
      <c r="V295" s="222">
        <f t="shared" si="427"/>
        <v>1.9989312123283418</v>
      </c>
      <c r="W295" s="222">
        <f t="shared" si="428"/>
        <v>2.1539503675701317</v>
      </c>
      <c r="X295" s="202">
        <f t="shared" si="429"/>
        <v>350</v>
      </c>
      <c r="Y295" s="453">
        <f t="shared" si="415"/>
        <v>240.79665667337602</v>
      </c>
      <c r="AA295" s="222">
        <f t="shared" si="430"/>
        <v>0.4322200392927309</v>
      </c>
      <c r="AB295" s="178">
        <f t="shared" si="431"/>
        <v>1.4818972775750774</v>
      </c>
      <c r="AC295" s="178">
        <f t="shared" si="432"/>
        <v>0.22417699483945183</v>
      </c>
      <c r="AD295" s="178"/>
      <c r="AE295" s="178">
        <f t="shared" si="433"/>
        <v>0.99428571428571422</v>
      </c>
      <c r="AF295" s="562">
        <f t="shared" si="434"/>
        <v>1095.9175584621487</v>
      </c>
      <c r="AG295" s="545">
        <f t="shared" si="435"/>
        <v>0.10091999999999998</v>
      </c>
      <c r="AI295" s="178">
        <f t="shared" si="436"/>
        <v>0.51316014394468845</v>
      </c>
      <c r="AJ295" s="178">
        <f t="shared" si="437"/>
        <v>0.62823552387462178</v>
      </c>
      <c r="AK295" s="178">
        <f t="shared" si="438"/>
        <v>1.4505448324997199</v>
      </c>
      <c r="AM295" s="562">
        <f t="shared" si="439"/>
        <v>316.00000000000006</v>
      </c>
      <c r="AN295" s="471">
        <f t="shared" si="440"/>
        <v>240.79665667337602</v>
      </c>
      <c r="AP295">
        <f t="shared" si="441"/>
        <v>316.00000000000006</v>
      </c>
      <c r="AQ295">
        <f t="shared" si="442"/>
        <v>240.79665667337602</v>
      </c>
      <c r="AS295" s="5">
        <f t="shared" si="414"/>
        <v>4.1528815798984731</v>
      </c>
      <c r="AT295" s="5">
        <f t="shared" si="443"/>
        <v>1.9989312123283418</v>
      </c>
      <c r="AU295" s="5">
        <f t="shared" si="380"/>
        <v>2.1539503675701313</v>
      </c>
      <c r="AV295" s="5"/>
      <c r="AW295" s="178">
        <f t="shared" si="381"/>
        <v>0.48133595284872305</v>
      </c>
      <c r="AX295" s="178"/>
      <c r="CD295" s="580">
        <f t="shared" si="444"/>
        <v>-50</v>
      </c>
      <c r="CE295">
        <f t="shared" si="445"/>
        <v>-50</v>
      </c>
    </row>
    <row r="296" spans="5:83" x14ac:dyDescent="0.2">
      <c r="E296" s="175">
        <v>80</v>
      </c>
      <c r="F296" s="222">
        <f t="shared" si="446"/>
        <v>0.32000000000000006</v>
      </c>
      <c r="G296" s="222"/>
      <c r="H296" s="222">
        <f t="shared" si="416"/>
        <v>3.8400000000000007</v>
      </c>
      <c r="I296" s="558">
        <f t="shared" si="417"/>
        <v>26.4</v>
      </c>
      <c r="J296" s="453">
        <f t="shared" si="418"/>
        <v>24.5</v>
      </c>
      <c r="K296" s="453">
        <f t="shared" si="419"/>
        <v>50.9</v>
      </c>
      <c r="L296" s="453"/>
      <c r="M296" s="222">
        <f t="shared" si="420"/>
        <v>0.48133595284872299</v>
      </c>
      <c r="N296" s="177">
        <f t="shared" si="421"/>
        <v>8.7521316306483303</v>
      </c>
      <c r="O296" s="177">
        <f t="shared" si="413"/>
        <v>3.8400000000000007</v>
      </c>
      <c r="P296" s="222">
        <f t="shared" si="422"/>
        <v>0.72934430255402749</v>
      </c>
      <c r="Q296" s="222">
        <f t="shared" si="423"/>
        <v>12</v>
      </c>
      <c r="R296" s="222"/>
      <c r="S296" s="177">
        <f t="shared" si="424"/>
        <v>43.696965508793802</v>
      </c>
      <c r="T296" s="177">
        <f t="shared" si="425"/>
        <v>12</v>
      </c>
      <c r="U296" s="222">
        <f t="shared" si="426"/>
        <v>0.63618787227809803</v>
      </c>
      <c r="V296" s="222">
        <f t="shared" si="427"/>
        <v>2.0242341390666754</v>
      </c>
      <c r="W296" s="222">
        <f t="shared" si="428"/>
        <v>2.181215562096336</v>
      </c>
      <c r="X296" s="202">
        <f t="shared" si="429"/>
        <v>350</v>
      </c>
      <c r="Y296" s="453">
        <f t="shared" si="415"/>
        <v>237.78669846495876</v>
      </c>
      <c r="AA296" s="222">
        <f t="shared" si="430"/>
        <v>0.4322200392927309</v>
      </c>
      <c r="AB296" s="178">
        <f t="shared" si="431"/>
        <v>1.4818972775750774</v>
      </c>
      <c r="AC296" s="178">
        <f t="shared" si="432"/>
        <v>0.22417699483945183</v>
      </c>
      <c r="AD296" s="178"/>
      <c r="AE296" s="178">
        <f t="shared" si="433"/>
        <v>0.99428571428571422</v>
      </c>
      <c r="AF296" s="562">
        <f t="shared" si="434"/>
        <v>1109.7899326198974</v>
      </c>
      <c r="AG296" s="545">
        <f t="shared" si="435"/>
        <v>0.10091999999999998</v>
      </c>
      <c r="AI296" s="178">
        <f t="shared" si="436"/>
        <v>0.51639777949432231</v>
      </c>
      <c r="AJ296" s="178">
        <f t="shared" si="437"/>
        <v>0.63618787227809803</v>
      </c>
      <c r="AK296" s="178">
        <f t="shared" si="438"/>
        <v>1.4564354609467394</v>
      </c>
      <c r="AM296" s="562">
        <f t="shared" si="439"/>
        <v>320.00000000000006</v>
      </c>
      <c r="AN296" s="471">
        <f t="shared" si="440"/>
        <v>237.78669846495876</v>
      </c>
      <c r="AP296">
        <f t="shared" si="441"/>
        <v>320.00000000000006</v>
      </c>
      <c r="AQ296">
        <f t="shared" si="442"/>
        <v>237.78669846495876</v>
      </c>
      <c r="AS296" s="5">
        <f t="shared" si="414"/>
        <v>4.205449701163011</v>
      </c>
      <c r="AT296" s="5">
        <f t="shared" si="443"/>
        <v>2.0242341390666754</v>
      </c>
      <c r="AU296" s="5">
        <f t="shared" si="380"/>
        <v>2.1812155620963356</v>
      </c>
      <c r="AV296" s="5"/>
      <c r="AW296" s="178">
        <f t="shared" si="381"/>
        <v>0.48133595284872305</v>
      </c>
      <c r="AX296" s="178"/>
      <c r="CD296" s="580">
        <f t="shared" si="444"/>
        <v>-50</v>
      </c>
      <c r="CE296">
        <f t="shared" si="445"/>
        <v>-50</v>
      </c>
    </row>
    <row r="297" spans="5:83" x14ac:dyDescent="0.2">
      <c r="E297" s="175">
        <v>81</v>
      </c>
      <c r="F297" s="222">
        <f t="shared" si="446"/>
        <v>0.32400000000000007</v>
      </c>
      <c r="G297" s="222"/>
      <c r="H297" s="222">
        <f t="shared" si="416"/>
        <v>3.8880000000000008</v>
      </c>
      <c r="I297" s="558">
        <f t="shared" si="417"/>
        <v>26.4</v>
      </c>
      <c r="J297" s="453">
        <f t="shared" si="418"/>
        <v>24.5</v>
      </c>
      <c r="K297" s="453">
        <f t="shared" si="419"/>
        <v>50.9</v>
      </c>
      <c r="L297" s="453"/>
      <c r="M297" s="222">
        <f t="shared" si="420"/>
        <v>0.48133595284872299</v>
      </c>
      <c r="N297" s="177">
        <f t="shared" si="421"/>
        <v>8.7521316306483303</v>
      </c>
      <c r="O297" s="177">
        <f t="shared" si="413"/>
        <v>3.8880000000000008</v>
      </c>
      <c r="P297" s="222">
        <f t="shared" si="422"/>
        <v>0.72934430255402749</v>
      </c>
      <c r="Q297" s="222">
        <f t="shared" si="423"/>
        <v>12</v>
      </c>
      <c r="R297" s="222"/>
      <c r="S297" s="177">
        <f t="shared" si="424"/>
        <v>42.996676811542251</v>
      </c>
      <c r="T297" s="177">
        <f t="shared" si="425"/>
        <v>12</v>
      </c>
      <c r="U297" s="222">
        <f t="shared" si="426"/>
        <v>0.64414022068157417</v>
      </c>
      <c r="V297" s="222">
        <f t="shared" si="427"/>
        <v>2.0495370658050089</v>
      </c>
      <c r="W297" s="222">
        <f t="shared" si="428"/>
        <v>2.20848075662254</v>
      </c>
      <c r="X297" s="202">
        <f t="shared" si="429"/>
        <v>350</v>
      </c>
      <c r="Y297" s="453">
        <f t="shared" si="415"/>
        <v>234.85106021230499</v>
      </c>
      <c r="AA297" s="222">
        <f t="shared" si="430"/>
        <v>0.4322200392927309</v>
      </c>
      <c r="AB297" s="178">
        <f t="shared" si="431"/>
        <v>1.4818972775750774</v>
      </c>
      <c r="AC297" s="178">
        <f t="shared" si="432"/>
        <v>0.22417699483945183</v>
      </c>
      <c r="AD297" s="178"/>
      <c r="AE297" s="178">
        <f t="shared" si="433"/>
        <v>0.99428571428571422</v>
      </c>
      <c r="AF297" s="562">
        <f t="shared" si="434"/>
        <v>1123.6623067776461</v>
      </c>
      <c r="AG297" s="545">
        <f t="shared" si="435"/>
        <v>0.10091999999999998</v>
      </c>
      <c r="AI297" s="178">
        <f t="shared" si="436"/>
        <v>0.51961524227066325</v>
      </c>
      <c r="AJ297" s="178">
        <f t="shared" si="437"/>
        <v>0.64414022068157417</v>
      </c>
      <c r="AK297" s="178">
        <f t="shared" si="438"/>
        <v>1.4623260893937586</v>
      </c>
      <c r="AM297" s="562">
        <f t="shared" si="439"/>
        <v>324.00000000000006</v>
      </c>
      <c r="AN297" s="471">
        <f t="shared" si="440"/>
        <v>234.85106021230499</v>
      </c>
      <c r="AP297">
        <f t="shared" si="441"/>
        <v>324.00000000000006</v>
      </c>
      <c r="AQ297">
        <f t="shared" si="442"/>
        <v>234.85106021230499</v>
      </c>
      <c r="AS297" s="5">
        <f t="shared" si="414"/>
        <v>4.2580178224275489</v>
      </c>
      <c r="AT297" s="5">
        <f t="shared" si="443"/>
        <v>2.0495370658050089</v>
      </c>
      <c r="AU297" s="5">
        <f t="shared" si="380"/>
        <v>2.20848075662254</v>
      </c>
      <c r="AV297" s="5"/>
      <c r="AW297" s="178">
        <f t="shared" si="381"/>
        <v>0.48133595284872299</v>
      </c>
      <c r="AX297" s="178"/>
      <c r="CD297" s="580">
        <f t="shared" si="444"/>
        <v>-50</v>
      </c>
      <c r="CE297">
        <f t="shared" si="445"/>
        <v>-50</v>
      </c>
    </row>
    <row r="298" spans="5:83" x14ac:dyDescent="0.2">
      <c r="E298" s="175">
        <v>82</v>
      </c>
      <c r="F298" s="222">
        <f t="shared" si="446"/>
        <v>0.32800000000000001</v>
      </c>
      <c r="G298" s="222"/>
      <c r="H298" s="222">
        <f t="shared" si="416"/>
        <v>3.9359999999999999</v>
      </c>
      <c r="I298" s="558">
        <f t="shared" si="417"/>
        <v>26.4</v>
      </c>
      <c r="J298" s="453">
        <f t="shared" si="418"/>
        <v>24.5</v>
      </c>
      <c r="K298" s="453">
        <f t="shared" si="419"/>
        <v>50.9</v>
      </c>
      <c r="L298" s="453"/>
      <c r="M298" s="222">
        <f t="shared" si="420"/>
        <v>0.48133595284872299</v>
      </c>
      <c r="N298" s="177">
        <f t="shared" si="421"/>
        <v>8.7521316306483303</v>
      </c>
      <c r="O298" s="177">
        <f t="shared" si="413"/>
        <v>3.9359999999999999</v>
      </c>
      <c r="P298" s="222">
        <f t="shared" si="422"/>
        <v>0.72934430255402749</v>
      </c>
      <c r="Q298" s="222">
        <f t="shared" si="423"/>
        <v>12</v>
      </c>
      <c r="R298" s="222"/>
      <c r="S298" s="177">
        <f t="shared" si="424"/>
        <v>42.313506815403969</v>
      </c>
      <c r="T298" s="177">
        <f t="shared" si="425"/>
        <v>12</v>
      </c>
      <c r="U298" s="222">
        <f t="shared" si="426"/>
        <v>0.65209256908505031</v>
      </c>
      <c r="V298" s="222">
        <f t="shared" si="427"/>
        <v>2.0748399925433416</v>
      </c>
      <c r="W298" s="222">
        <f t="shared" si="428"/>
        <v>2.2357459511487434</v>
      </c>
      <c r="X298" s="202">
        <f t="shared" si="429"/>
        <v>350</v>
      </c>
      <c r="Y298" s="453">
        <f t="shared" si="415"/>
        <v>231.98702289264281</v>
      </c>
      <c r="AA298" s="222">
        <f t="shared" si="430"/>
        <v>0.4322200392927309</v>
      </c>
      <c r="AB298" s="178">
        <f t="shared" si="431"/>
        <v>1.4818972775750774</v>
      </c>
      <c r="AC298" s="178">
        <f t="shared" si="432"/>
        <v>0.22417699483945183</v>
      </c>
      <c r="AD298" s="178"/>
      <c r="AE298" s="178">
        <f t="shared" si="433"/>
        <v>0.99428571428571422</v>
      </c>
      <c r="AF298" s="562">
        <f t="shared" si="434"/>
        <v>1137.5346809353948</v>
      </c>
      <c r="AG298" s="545">
        <f t="shared" si="435"/>
        <v>0.10091999999999998</v>
      </c>
      <c r="AI298" s="178">
        <f t="shared" si="436"/>
        <v>0.52281290471193742</v>
      </c>
      <c r="AJ298" s="178">
        <f t="shared" si="437"/>
        <v>0.65209256908505031</v>
      </c>
      <c r="AK298" s="178">
        <f t="shared" si="438"/>
        <v>1.4682167178407779</v>
      </c>
      <c r="AM298" s="562">
        <f t="shared" si="439"/>
        <v>328</v>
      </c>
      <c r="AN298" s="471">
        <f t="shared" si="440"/>
        <v>231.98702289264281</v>
      </c>
      <c r="AP298">
        <f t="shared" si="441"/>
        <v>328</v>
      </c>
      <c r="AQ298">
        <f t="shared" si="442"/>
        <v>231.98702289264281</v>
      </c>
      <c r="AS298" s="5">
        <f t="shared" si="414"/>
        <v>4.310585943692085</v>
      </c>
      <c r="AT298" s="5">
        <f t="shared" si="443"/>
        <v>2.0748399925433416</v>
      </c>
      <c r="AU298" s="5">
        <f t="shared" ref="AU298:AU316" si="447">AS298-AT298</f>
        <v>2.2357459511487434</v>
      </c>
      <c r="AV298" s="5"/>
      <c r="AW298" s="178">
        <f t="shared" ref="AW298:AW316" si="448">AT298/AS298</f>
        <v>0.48133595284872299</v>
      </c>
      <c r="AX298" s="178"/>
      <c r="CD298" s="580">
        <f t="shared" si="444"/>
        <v>-50</v>
      </c>
      <c r="CE298">
        <f t="shared" si="445"/>
        <v>-50</v>
      </c>
    </row>
    <row r="299" spans="5:83" x14ac:dyDescent="0.2">
      <c r="E299" s="175">
        <v>83</v>
      </c>
      <c r="F299" s="222">
        <f t="shared" si="446"/>
        <v>0.33200000000000002</v>
      </c>
      <c r="G299" s="222"/>
      <c r="H299" s="222">
        <f t="shared" si="416"/>
        <v>3.984</v>
      </c>
      <c r="I299" s="558">
        <f t="shared" si="417"/>
        <v>26.4</v>
      </c>
      <c r="J299" s="453">
        <f t="shared" si="418"/>
        <v>24.5</v>
      </c>
      <c r="K299" s="453">
        <f t="shared" si="419"/>
        <v>50.9</v>
      </c>
      <c r="L299" s="453"/>
      <c r="M299" s="222">
        <f t="shared" si="420"/>
        <v>0.48133595284872299</v>
      </c>
      <c r="N299" s="177">
        <f t="shared" si="421"/>
        <v>8.7521316306483303</v>
      </c>
      <c r="O299" s="177">
        <f t="shared" si="413"/>
        <v>3.984</v>
      </c>
      <c r="P299" s="222">
        <f t="shared" si="422"/>
        <v>0.72934430255402749</v>
      </c>
      <c r="Q299" s="222">
        <f t="shared" si="423"/>
        <v>12</v>
      </c>
      <c r="R299" s="222"/>
      <c r="S299" s="177">
        <f t="shared" si="424"/>
        <v>41.646837184593963</v>
      </c>
      <c r="T299" s="177">
        <f t="shared" si="425"/>
        <v>12</v>
      </c>
      <c r="U299" s="222">
        <f t="shared" si="426"/>
        <v>0.66004491748852656</v>
      </c>
      <c r="V299" s="222">
        <f t="shared" si="427"/>
        <v>2.1001429192816752</v>
      </c>
      <c r="W299" s="222">
        <f t="shared" si="428"/>
        <v>2.2630111456749478</v>
      </c>
      <c r="X299" s="202">
        <f t="shared" si="429"/>
        <v>350</v>
      </c>
      <c r="Y299" s="453">
        <f t="shared" si="415"/>
        <v>229.19199852044227</v>
      </c>
      <c r="AA299" s="222">
        <f t="shared" si="430"/>
        <v>0.4322200392927309</v>
      </c>
      <c r="AB299" s="178">
        <f t="shared" si="431"/>
        <v>1.4818972775750774</v>
      </c>
      <c r="AC299" s="178">
        <f t="shared" si="432"/>
        <v>0.22417699483945183</v>
      </c>
      <c r="AD299" s="178"/>
      <c r="AE299" s="178">
        <f t="shared" si="433"/>
        <v>0.99428571428571422</v>
      </c>
      <c r="AF299" s="562">
        <f t="shared" si="434"/>
        <v>1151.4070550931433</v>
      </c>
      <c r="AG299" s="545">
        <f t="shared" si="435"/>
        <v>0.10091999999999998</v>
      </c>
      <c r="AI299" s="178">
        <f t="shared" si="436"/>
        <v>0.52599112793531666</v>
      </c>
      <c r="AJ299" s="178">
        <f t="shared" si="437"/>
        <v>0.66004491748852656</v>
      </c>
      <c r="AK299" s="178">
        <f t="shared" si="438"/>
        <v>1.4741073462877974</v>
      </c>
      <c r="AM299" s="562">
        <f t="shared" si="439"/>
        <v>332</v>
      </c>
      <c r="AN299" s="471">
        <f t="shared" si="440"/>
        <v>229.19199852044227</v>
      </c>
      <c r="AP299">
        <f t="shared" si="441"/>
        <v>332</v>
      </c>
      <c r="AQ299">
        <f t="shared" si="442"/>
        <v>229.19199852044227</v>
      </c>
      <c r="AS299" s="5">
        <f t="shared" si="414"/>
        <v>4.3631540649566229</v>
      </c>
      <c r="AT299" s="5">
        <f t="shared" si="443"/>
        <v>2.1001429192816752</v>
      </c>
      <c r="AU299" s="5">
        <f t="shared" si="447"/>
        <v>2.2630111456749478</v>
      </c>
      <c r="AV299" s="5"/>
      <c r="AW299" s="178">
        <f t="shared" si="448"/>
        <v>0.48133595284872299</v>
      </c>
      <c r="AX299" s="178"/>
      <c r="CD299" s="580">
        <f t="shared" si="444"/>
        <v>-50</v>
      </c>
      <c r="CE299">
        <f t="shared" si="445"/>
        <v>-50</v>
      </c>
    </row>
    <row r="300" spans="5:83" x14ac:dyDescent="0.2">
      <c r="E300" s="175">
        <v>84</v>
      </c>
      <c r="F300" s="222">
        <f t="shared" si="446"/>
        <v>0.33600000000000002</v>
      </c>
      <c r="G300" s="222"/>
      <c r="H300" s="222">
        <f t="shared" si="416"/>
        <v>4.032</v>
      </c>
      <c r="I300" s="558">
        <f t="shared" si="417"/>
        <v>26.4</v>
      </c>
      <c r="J300" s="453">
        <f t="shared" si="418"/>
        <v>24.5</v>
      </c>
      <c r="K300" s="453">
        <f t="shared" si="419"/>
        <v>50.9</v>
      </c>
      <c r="L300" s="453"/>
      <c r="M300" s="222">
        <f t="shared" si="420"/>
        <v>0.48133595284872299</v>
      </c>
      <c r="N300" s="177">
        <f t="shared" si="421"/>
        <v>8.7521316306483303</v>
      </c>
      <c r="O300" s="177">
        <f t="shared" si="413"/>
        <v>4.032</v>
      </c>
      <c r="P300" s="222">
        <f t="shared" si="422"/>
        <v>0.72934430255402749</v>
      </c>
      <c r="Q300" s="222">
        <f t="shared" si="423"/>
        <v>12</v>
      </c>
      <c r="R300" s="222"/>
      <c r="S300" s="177">
        <f t="shared" si="424"/>
        <v>40.996079033592792</v>
      </c>
      <c r="T300" s="177">
        <f t="shared" si="425"/>
        <v>12</v>
      </c>
      <c r="U300" s="222">
        <f t="shared" si="426"/>
        <v>0.6679972658920027</v>
      </c>
      <c r="V300" s="222">
        <f t="shared" si="427"/>
        <v>2.1254458460200087</v>
      </c>
      <c r="W300" s="222">
        <f t="shared" si="428"/>
        <v>2.2902763402011521</v>
      </c>
      <c r="X300" s="202">
        <f t="shared" si="429"/>
        <v>350</v>
      </c>
      <c r="Y300" s="453">
        <f t="shared" si="415"/>
        <v>226.46352234757987</v>
      </c>
      <c r="AA300" s="222">
        <f t="shared" si="430"/>
        <v>0.4322200392927309</v>
      </c>
      <c r="AB300" s="178">
        <f t="shared" si="431"/>
        <v>1.4818972775750774</v>
      </c>
      <c r="AC300" s="178">
        <f t="shared" si="432"/>
        <v>0.22417699483945183</v>
      </c>
      <c r="AD300" s="178"/>
      <c r="AE300" s="178">
        <f t="shared" si="433"/>
        <v>0.99428571428571422</v>
      </c>
      <c r="AF300" s="562">
        <f t="shared" si="434"/>
        <v>1165.2794292508922</v>
      </c>
      <c r="AG300" s="545">
        <f t="shared" si="435"/>
        <v>0.10091999999999998</v>
      </c>
      <c r="AI300" s="178">
        <f t="shared" si="436"/>
        <v>0.52915026221291817</v>
      </c>
      <c r="AJ300" s="178">
        <f t="shared" si="437"/>
        <v>0.6679972658920027</v>
      </c>
      <c r="AK300" s="178">
        <f t="shared" si="438"/>
        <v>1.4799979747348169</v>
      </c>
      <c r="AM300" s="562">
        <f t="shared" si="439"/>
        <v>336</v>
      </c>
      <c r="AN300" s="471">
        <f t="shared" si="440"/>
        <v>226.46352234757987</v>
      </c>
      <c r="AP300">
        <f t="shared" si="441"/>
        <v>336</v>
      </c>
      <c r="AQ300">
        <f t="shared" si="442"/>
        <v>226.46352234757987</v>
      </c>
      <c r="AS300" s="5">
        <f t="shared" si="414"/>
        <v>4.41572218622116</v>
      </c>
      <c r="AT300" s="5">
        <f t="shared" si="443"/>
        <v>2.1254458460200087</v>
      </c>
      <c r="AU300" s="5">
        <f t="shared" si="447"/>
        <v>2.2902763402011512</v>
      </c>
      <c r="AV300" s="5"/>
      <c r="AW300" s="178">
        <f t="shared" si="448"/>
        <v>0.4813359528487231</v>
      </c>
      <c r="AX300" s="178"/>
      <c r="CD300" s="580">
        <f t="shared" si="444"/>
        <v>-50</v>
      </c>
      <c r="CE300">
        <f t="shared" si="445"/>
        <v>-50</v>
      </c>
    </row>
    <row r="301" spans="5:83" x14ac:dyDescent="0.2">
      <c r="E301" s="175">
        <v>85</v>
      </c>
      <c r="F301" s="222">
        <f t="shared" si="446"/>
        <v>0.34</v>
      </c>
      <c r="G301" s="222"/>
      <c r="H301" s="222">
        <f t="shared" si="416"/>
        <v>4.08</v>
      </c>
      <c r="I301" s="558">
        <f t="shared" si="417"/>
        <v>26.4</v>
      </c>
      <c r="J301" s="453">
        <f t="shared" si="418"/>
        <v>24.5</v>
      </c>
      <c r="K301" s="453">
        <f t="shared" si="419"/>
        <v>50.9</v>
      </c>
      <c r="L301" s="453"/>
      <c r="M301" s="222">
        <f t="shared" si="420"/>
        <v>0.48133595284872299</v>
      </c>
      <c r="N301" s="177">
        <f t="shared" si="421"/>
        <v>8.7521316306483303</v>
      </c>
      <c r="O301" s="177">
        <f t="shared" si="413"/>
        <v>4.08</v>
      </c>
      <c r="P301" s="222">
        <f t="shared" si="422"/>
        <v>0.72934430255402749</v>
      </c>
      <c r="Q301" s="222">
        <f t="shared" si="423"/>
        <v>12</v>
      </c>
      <c r="R301" s="222"/>
      <c r="S301" s="177">
        <f t="shared" si="424"/>
        <v>40.360671194872999</v>
      </c>
      <c r="T301" s="177">
        <f t="shared" si="425"/>
        <v>12</v>
      </c>
      <c r="U301" s="222">
        <f t="shared" si="426"/>
        <v>0.67594961429547895</v>
      </c>
      <c r="V301" s="222">
        <f t="shared" si="427"/>
        <v>2.1507487727583423</v>
      </c>
      <c r="W301" s="222">
        <f t="shared" si="428"/>
        <v>2.317541534727356</v>
      </c>
      <c r="X301" s="202">
        <f t="shared" si="429"/>
        <v>350</v>
      </c>
      <c r="Y301" s="453">
        <f t="shared" si="415"/>
        <v>223.7992456140789</v>
      </c>
      <c r="AA301" s="222">
        <f t="shared" si="430"/>
        <v>0.4322200392927309</v>
      </c>
      <c r="AB301" s="178">
        <f t="shared" si="431"/>
        <v>1.4818972775750774</v>
      </c>
      <c r="AC301" s="178">
        <f t="shared" si="432"/>
        <v>0.22417699483945183</v>
      </c>
      <c r="AD301" s="178"/>
      <c r="AE301" s="178">
        <f t="shared" si="433"/>
        <v>0.99428571428571422</v>
      </c>
      <c r="AF301" s="562">
        <f t="shared" si="434"/>
        <v>1179.1518034086409</v>
      </c>
      <c r="AG301" s="545">
        <f t="shared" si="435"/>
        <v>0.10091999999999998</v>
      </c>
      <c r="AI301" s="178">
        <f t="shared" si="436"/>
        <v>0.53229064742237708</v>
      </c>
      <c r="AJ301" s="178">
        <f t="shared" si="437"/>
        <v>0.67594961429547895</v>
      </c>
      <c r="AK301" s="178">
        <f t="shared" si="438"/>
        <v>1.4858886031818361</v>
      </c>
      <c r="AM301" s="562">
        <f t="shared" si="439"/>
        <v>340</v>
      </c>
      <c r="AN301" s="471">
        <f t="shared" si="440"/>
        <v>223.7992456140789</v>
      </c>
      <c r="AP301">
        <f t="shared" si="441"/>
        <v>340</v>
      </c>
      <c r="AQ301">
        <f t="shared" si="442"/>
        <v>223.7992456140789</v>
      </c>
      <c r="AS301" s="5">
        <f t="shared" si="414"/>
        <v>4.4682903074856988</v>
      </c>
      <c r="AT301" s="5">
        <f t="shared" si="443"/>
        <v>2.1507487727583423</v>
      </c>
      <c r="AU301" s="5">
        <f t="shared" si="447"/>
        <v>2.3175415347273565</v>
      </c>
      <c r="AV301" s="5"/>
      <c r="AW301" s="178">
        <f t="shared" si="448"/>
        <v>0.48133595284872299</v>
      </c>
      <c r="AX301" s="178"/>
      <c r="CD301" s="580">
        <f t="shared" si="444"/>
        <v>-50</v>
      </c>
      <c r="CE301">
        <f t="shared" si="445"/>
        <v>-50</v>
      </c>
    </row>
    <row r="302" spans="5:83" x14ac:dyDescent="0.2">
      <c r="E302" s="175">
        <v>86</v>
      </c>
      <c r="F302" s="222">
        <f t="shared" si="446"/>
        <v>0.34400000000000003</v>
      </c>
      <c r="G302" s="222"/>
      <c r="H302" s="222">
        <f t="shared" si="416"/>
        <v>4.1280000000000001</v>
      </c>
      <c r="I302" s="558">
        <f t="shared" si="417"/>
        <v>26.4</v>
      </c>
      <c r="J302" s="453">
        <f t="shared" si="418"/>
        <v>24.5</v>
      </c>
      <c r="K302" s="453">
        <f t="shared" si="419"/>
        <v>50.9</v>
      </c>
      <c r="L302" s="453"/>
      <c r="M302" s="222">
        <f t="shared" si="420"/>
        <v>0.48133595284872299</v>
      </c>
      <c r="N302" s="177">
        <f t="shared" si="421"/>
        <v>8.7521316306483303</v>
      </c>
      <c r="O302" s="177">
        <f t="shared" si="413"/>
        <v>4.1280000000000001</v>
      </c>
      <c r="P302" s="222">
        <f t="shared" si="422"/>
        <v>0.72934430255402749</v>
      </c>
      <c r="Q302" s="222">
        <f t="shared" si="423"/>
        <v>12</v>
      </c>
      <c r="R302" s="222"/>
      <c r="S302" s="177">
        <f t="shared" si="424"/>
        <v>39.740078607483703</v>
      </c>
      <c r="T302" s="177">
        <f t="shared" si="425"/>
        <v>12</v>
      </c>
      <c r="U302" s="222">
        <f t="shared" si="426"/>
        <v>0.6839019626989552</v>
      </c>
      <c r="V302" s="222">
        <f t="shared" si="427"/>
        <v>2.1760516994966754</v>
      </c>
      <c r="W302" s="222">
        <f t="shared" si="428"/>
        <v>2.3448067292535604</v>
      </c>
      <c r="X302" s="202">
        <f t="shared" si="429"/>
        <v>350</v>
      </c>
      <c r="Y302" s="453">
        <f t="shared" si="415"/>
        <v>221.1969288046129</v>
      </c>
      <c r="AA302" s="222">
        <f t="shared" si="430"/>
        <v>0.4322200392927309</v>
      </c>
      <c r="AB302" s="178">
        <f t="shared" si="431"/>
        <v>1.4818972775750774</v>
      </c>
      <c r="AC302" s="178">
        <f t="shared" si="432"/>
        <v>0.22417699483945183</v>
      </c>
      <c r="AD302" s="178"/>
      <c r="AE302" s="178">
        <f t="shared" si="433"/>
        <v>0.99428571428571422</v>
      </c>
      <c r="AF302" s="562">
        <f t="shared" si="434"/>
        <v>1193.0241775663897</v>
      </c>
      <c r="AG302" s="545">
        <f t="shared" si="435"/>
        <v>0.10091999999999998</v>
      </c>
      <c r="AI302" s="178">
        <f t="shared" si="436"/>
        <v>0.53541261347363367</v>
      </c>
      <c r="AJ302" s="178">
        <f t="shared" si="437"/>
        <v>0.6839019626989552</v>
      </c>
      <c r="AK302" s="178">
        <f t="shared" si="438"/>
        <v>1.4917792316288556</v>
      </c>
      <c r="AM302" s="562">
        <f t="shared" si="439"/>
        <v>344</v>
      </c>
      <c r="AN302" s="471">
        <f t="shared" si="440"/>
        <v>221.1969288046129</v>
      </c>
      <c r="AP302">
        <f t="shared" si="441"/>
        <v>344</v>
      </c>
      <c r="AQ302">
        <f t="shared" si="442"/>
        <v>221.1969288046129</v>
      </c>
      <c r="AS302" s="5">
        <f t="shared" si="414"/>
        <v>4.5208584287502358</v>
      </c>
      <c r="AT302" s="5">
        <f t="shared" si="443"/>
        <v>2.1760516994966754</v>
      </c>
      <c r="AU302" s="5">
        <f t="shared" si="447"/>
        <v>2.3448067292535604</v>
      </c>
      <c r="AV302" s="5"/>
      <c r="AW302" s="178">
        <f t="shared" si="448"/>
        <v>0.48133595284872299</v>
      </c>
      <c r="AX302" s="178"/>
      <c r="CD302" s="580">
        <f t="shared" si="444"/>
        <v>-50</v>
      </c>
      <c r="CE302">
        <f t="shared" si="445"/>
        <v>-50</v>
      </c>
    </row>
    <row r="303" spans="5:83" x14ac:dyDescent="0.2">
      <c r="E303" s="175">
        <v>87</v>
      </c>
      <c r="F303" s="222">
        <f t="shared" si="446"/>
        <v>0.34800000000000003</v>
      </c>
      <c r="G303" s="222"/>
      <c r="H303" s="222">
        <f t="shared" si="416"/>
        <v>4.1760000000000002</v>
      </c>
      <c r="I303" s="558">
        <f t="shared" si="417"/>
        <v>26.4</v>
      </c>
      <c r="J303" s="453">
        <f t="shared" si="418"/>
        <v>24.5</v>
      </c>
      <c r="K303" s="453">
        <f t="shared" si="419"/>
        <v>50.9</v>
      </c>
      <c r="L303" s="453"/>
      <c r="M303" s="222">
        <f t="shared" si="420"/>
        <v>0.48133595284872299</v>
      </c>
      <c r="N303" s="177">
        <f t="shared" si="421"/>
        <v>8.7521316306483303</v>
      </c>
      <c r="O303" s="177">
        <f t="shared" si="413"/>
        <v>4.1760000000000002</v>
      </c>
      <c r="P303" s="222">
        <f t="shared" si="422"/>
        <v>0.72934430255402749</v>
      </c>
      <c r="Q303" s="222">
        <f t="shared" si="423"/>
        <v>12</v>
      </c>
      <c r="R303" s="222"/>
      <c r="S303" s="177">
        <f t="shared" si="424"/>
        <v>39.133790816769078</v>
      </c>
      <c r="T303" s="177">
        <f t="shared" si="425"/>
        <v>12</v>
      </c>
      <c r="U303" s="222">
        <f t="shared" si="426"/>
        <v>0.69185431110243145</v>
      </c>
      <c r="V303" s="222">
        <f t="shared" si="427"/>
        <v>2.201354626235009</v>
      </c>
      <c r="W303" s="222">
        <f t="shared" si="428"/>
        <v>2.3720719237797652</v>
      </c>
      <c r="X303" s="202">
        <f t="shared" si="429"/>
        <v>350</v>
      </c>
      <c r="Y303" s="453">
        <f t="shared" si="415"/>
        <v>218.65443537007707</v>
      </c>
      <c r="AA303" s="222">
        <f t="shared" si="430"/>
        <v>0.4322200392927309</v>
      </c>
      <c r="AB303" s="178">
        <f t="shared" si="431"/>
        <v>1.4818972775750774</v>
      </c>
      <c r="AC303" s="178">
        <f t="shared" si="432"/>
        <v>0.22417699483945183</v>
      </c>
      <c r="AD303" s="178"/>
      <c r="AE303" s="178">
        <f t="shared" si="433"/>
        <v>0.99428571428571422</v>
      </c>
      <c r="AF303" s="562">
        <f t="shared" si="434"/>
        <v>1206.8965517241384</v>
      </c>
      <c r="AG303" s="545">
        <f t="shared" si="435"/>
        <v>0.10091999999999998</v>
      </c>
      <c r="AI303" s="178">
        <f t="shared" si="436"/>
        <v>0.53851648071345048</v>
      </c>
      <c r="AJ303" s="178">
        <f t="shared" si="437"/>
        <v>0.69185431110243145</v>
      </c>
      <c r="AK303" s="178">
        <f t="shared" si="438"/>
        <v>1.4976698600758751</v>
      </c>
      <c r="AM303" s="562">
        <f t="shared" si="439"/>
        <v>348.00000000000006</v>
      </c>
      <c r="AN303" s="471">
        <f t="shared" si="440"/>
        <v>218.65443537007707</v>
      </c>
      <c r="AP303">
        <f t="shared" si="441"/>
        <v>348.00000000000006</v>
      </c>
      <c r="AQ303">
        <f t="shared" si="442"/>
        <v>218.65443537007707</v>
      </c>
      <c r="AS303" s="5">
        <f t="shared" si="414"/>
        <v>4.5734265500147746</v>
      </c>
      <c r="AT303" s="5">
        <f t="shared" si="443"/>
        <v>2.201354626235009</v>
      </c>
      <c r="AU303" s="5">
        <f t="shared" si="447"/>
        <v>2.3720719237797656</v>
      </c>
      <c r="AV303" s="5"/>
      <c r="AW303" s="178">
        <f t="shared" si="448"/>
        <v>0.48133595284872288</v>
      </c>
      <c r="AX303" s="178"/>
      <c r="CD303" s="580">
        <f t="shared" si="444"/>
        <v>-50</v>
      </c>
      <c r="CE303">
        <f t="shared" si="445"/>
        <v>-50</v>
      </c>
    </row>
    <row r="304" spans="5:83" x14ac:dyDescent="0.2">
      <c r="E304" s="175">
        <v>88</v>
      </c>
      <c r="F304" s="222">
        <f t="shared" si="446"/>
        <v>0.35200000000000004</v>
      </c>
      <c r="G304" s="222"/>
      <c r="H304" s="222">
        <f t="shared" si="416"/>
        <v>4.2240000000000002</v>
      </c>
      <c r="I304" s="558">
        <f t="shared" si="417"/>
        <v>26.4</v>
      </c>
      <c r="J304" s="453">
        <f t="shared" si="418"/>
        <v>24.5</v>
      </c>
      <c r="K304" s="453">
        <f t="shared" si="419"/>
        <v>50.9</v>
      </c>
      <c r="L304" s="453"/>
      <c r="M304" s="222">
        <f t="shared" si="420"/>
        <v>0.48133595284872299</v>
      </c>
      <c r="N304" s="177">
        <f t="shared" si="421"/>
        <v>8.7521316306483303</v>
      </c>
      <c r="O304" s="177">
        <f t="shared" si="413"/>
        <v>4.2240000000000002</v>
      </c>
      <c r="P304" s="222">
        <f t="shared" si="422"/>
        <v>0.72934430255402749</v>
      </c>
      <c r="Q304" s="222">
        <f t="shared" si="423"/>
        <v>12</v>
      </c>
      <c r="R304" s="222"/>
      <c r="S304" s="177">
        <f t="shared" si="424"/>
        <v>38.541320576380649</v>
      </c>
      <c r="T304" s="177">
        <f t="shared" si="425"/>
        <v>12</v>
      </c>
      <c r="U304" s="222">
        <f t="shared" si="426"/>
        <v>0.6998066595059077</v>
      </c>
      <c r="V304" s="222">
        <f t="shared" si="427"/>
        <v>2.226657552973343</v>
      </c>
      <c r="W304" s="222">
        <f t="shared" si="428"/>
        <v>2.3993371183059691</v>
      </c>
      <c r="X304" s="202">
        <f t="shared" si="429"/>
        <v>350</v>
      </c>
      <c r="Y304" s="453">
        <f t="shared" si="415"/>
        <v>216.16972587723529</v>
      </c>
      <c r="AA304" s="222">
        <f t="shared" si="430"/>
        <v>0.4322200392927309</v>
      </c>
      <c r="AB304" s="178">
        <f t="shared" si="431"/>
        <v>1.4818972775750774</v>
      </c>
      <c r="AC304" s="178">
        <f t="shared" si="432"/>
        <v>0.22417699483945183</v>
      </c>
      <c r="AD304" s="178"/>
      <c r="AE304" s="178">
        <f t="shared" si="433"/>
        <v>0.99428571428571422</v>
      </c>
      <c r="AF304" s="562">
        <f t="shared" si="434"/>
        <v>1220.7689258818871</v>
      </c>
      <c r="AG304" s="545">
        <f t="shared" si="435"/>
        <v>0.10091999999999998</v>
      </c>
      <c r="AI304" s="178">
        <f t="shared" si="436"/>
        <v>0.54160256030906406</v>
      </c>
      <c r="AJ304" s="178">
        <f t="shared" si="437"/>
        <v>0.6998066595059077</v>
      </c>
      <c r="AK304" s="178">
        <f t="shared" si="438"/>
        <v>1.5035604885228946</v>
      </c>
      <c r="AM304" s="562">
        <f t="shared" si="439"/>
        <v>352.00000000000006</v>
      </c>
      <c r="AN304" s="471">
        <f t="shared" si="440"/>
        <v>216.16972587723529</v>
      </c>
      <c r="AP304">
        <f t="shared" si="441"/>
        <v>352.00000000000006</v>
      </c>
      <c r="AQ304">
        <f t="shared" si="442"/>
        <v>216.16972587723529</v>
      </c>
      <c r="AS304" s="5">
        <f t="shared" si="414"/>
        <v>4.6259946712793125</v>
      </c>
      <c r="AT304" s="5">
        <f t="shared" si="443"/>
        <v>2.226657552973343</v>
      </c>
      <c r="AU304" s="5">
        <f t="shared" si="447"/>
        <v>2.3993371183059695</v>
      </c>
      <c r="AV304" s="5"/>
      <c r="AW304" s="178">
        <f t="shared" si="448"/>
        <v>0.48133595284872299</v>
      </c>
      <c r="AX304" s="178"/>
      <c r="CD304" s="580">
        <f t="shared" si="444"/>
        <v>-50</v>
      </c>
      <c r="CE304">
        <f t="shared" si="445"/>
        <v>-50</v>
      </c>
    </row>
    <row r="305" spans="5:83" x14ac:dyDescent="0.2">
      <c r="E305" s="175">
        <v>89</v>
      </c>
      <c r="F305" s="222">
        <f t="shared" si="446"/>
        <v>0.35600000000000004</v>
      </c>
      <c r="G305" s="222"/>
      <c r="H305" s="222">
        <f t="shared" si="416"/>
        <v>4.2720000000000002</v>
      </c>
      <c r="I305" s="558">
        <f t="shared" si="417"/>
        <v>26.4</v>
      </c>
      <c r="J305" s="453">
        <f t="shared" si="418"/>
        <v>24.5</v>
      </c>
      <c r="K305" s="453">
        <f t="shared" si="419"/>
        <v>50.9</v>
      </c>
      <c r="L305" s="453"/>
      <c r="M305" s="222">
        <f t="shared" si="420"/>
        <v>0.48133595284872299</v>
      </c>
      <c r="N305" s="177">
        <f t="shared" si="421"/>
        <v>8.7521316306483303</v>
      </c>
      <c r="O305" s="177">
        <f t="shared" si="413"/>
        <v>4.2720000000000002</v>
      </c>
      <c r="P305" s="222">
        <f t="shared" si="422"/>
        <v>0.72934430255402749</v>
      </c>
      <c r="Q305" s="222">
        <f t="shared" si="423"/>
        <v>12</v>
      </c>
      <c r="R305" s="222"/>
      <c r="S305" s="177">
        <f t="shared" si="424"/>
        <v>37.962202544537831</v>
      </c>
      <c r="T305" s="177">
        <f t="shared" si="425"/>
        <v>12</v>
      </c>
      <c r="U305" s="222">
        <f t="shared" si="426"/>
        <v>0.70775900790938395</v>
      </c>
      <c r="V305" s="222">
        <f t="shared" si="427"/>
        <v>2.2519604797116761</v>
      </c>
      <c r="W305" s="222">
        <f t="shared" si="428"/>
        <v>2.4266023128321734</v>
      </c>
      <c r="X305" s="202">
        <f t="shared" si="429"/>
        <v>350</v>
      </c>
      <c r="Y305" s="453">
        <f t="shared" si="415"/>
        <v>213.74085255277197</v>
      </c>
      <c r="AA305" s="222">
        <f t="shared" si="430"/>
        <v>0.4322200392927309</v>
      </c>
      <c r="AB305" s="178">
        <f t="shared" si="431"/>
        <v>1.4818972775750774</v>
      </c>
      <c r="AC305" s="178">
        <f t="shared" si="432"/>
        <v>0.22417699483945183</v>
      </c>
      <c r="AD305" s="178"/>
      <c r="AE305" s="178">
        <f t="shared" si="433"/>
        <v>0.99428571428571422</v>
      </c>
      <c r="AF305" s="562">
        <f t="shared" si="434"/>
        <v>1234.6413000396358</v>
      </c>
      <c r="AG305" s="545">
        <f t="shared" si="435"/>
        <v>0.10091999999999998</v>
      </c>
      <c r="AI305" s="178">
        <f t="shared" si="436"/>
        <v>0.54467115461227311</v>
      </c>
      <c r="AJ305" s="178">
        <f t="shared" si="437"/>
        <v>0.70775900790938395</v>
      </c>
      <c r="AK305" s="178">
        <f t="shared" si="438"/>
        <v>1.5094511169699141</v>
      </c>
      <c r="AM305" s="562">
        <f t="shared" si="439"/>
        <v>356.00000000000006</v>
      </c>
      <c r="AN305" s="471">
        <f t="shared" si="440"/>
        <v>213.74085255277197</v>
      </c>
      <c r="AP305">
        <f t="shared" si="441"/>
        <v>356.00000000000006</v>
      </c>
      <c r="AQ305">
        <f t="shared" si="442"/>
        <v>213.74085255277197</v>
      </c>
      <c r="AS305" s="5">
        <f t="shared" si="414"/>
        <v>4.6785627925438495</v>
      </c>
      <c r="AT305" s="5">
        <f t="shared" si="443"/>
        <v>2.2519604797116761</v>
      </c>
      <c r="AU305" s="5">
        <f t="shared" si="447"/>
        <v>2.4266023128321734</v>
      </c>
      <c r="AV305" s="5"/>
      <c r="AW305" s="178">
        <f t="shared" si="448"/>
        <v>0.48133595284872299</v>
      </c>
      <c r="AX305" s="178"/>
      <c r="CD305" s="580">
        <f t="shared" si="444"/>
        <v>-50</v>
      </c>
      <c r="CE305">
        <f t="shared" si="445"/>
        <v>-50</v>
      </c>
    </row>
    <row r="306" spans="5:83" x14ac:dyDescent="0.2">
      <c r="E306" s="175">
        <v>90</v>
      </c>
      <c r="F306" s="222">
        <f t="shared" si="446"/>
        <v>0.36000000000000004</v>
      </c>
      <c r="G306" s="222"/>
      <c r="H306" s="222">
        <f t="shared" si="416"/>
        <v>4.32</v>
      </c>
      <c r="I306" s="558">
        <f t="shared" si="417"/>
        <v>26.4</v>
      </c>
      <c r="J306" s="453">
        <f t="shared" si="418"/>
        <v>24.5</v>
      </c>
      <c r="K306" s="453">
        <f t="shared" si="419"/>
        <v>50.9</v>
      </c>
      <c r="L306" s="453"/>
      <c r="M306" s="222">
        <f t="shared" si="420"/>
        <v>0.48133595284872299</v>
      </c>
      <c r="N306" s="177">
        <f t="shared" si="421"/>
        <v>8.7521316306483303</v>
      </c>
      <c r="O306" s="177">
        <f t="shared" si="413"/>
        <v>4.32</v>
      </c>
      <c r="P306" s="222">
        <f t="shared" si="422"/>
        <v>0.72934430255402749</v>
      </c>
      <c r="Q306" s="222">
        <f t="shared" si="423"/>
        <v>12</v>
      </c>
      <c r="R306" s="222"/>
      <c r="S306" s="177">
        <f t="shared" si="424"/>
        <v>37.395992067206201</v>
      </c>
      <c r="T306" s="177">
        <f t="shared" si="425"/>
        <v>12</v>
      </c>
      <c r="U306" s="222">
        <f t="shared" si="426"/>
        <v>0.71571135631286009</v>
      </c>
      <c r="V306" s="222">
        <f t="shared" si="427"/>
        <v>2.2772634064500092</v>
      </c>
      <c r="W306" s="222">
        <f t="shared" si="428"/>
        <v>2.4538675073583773</v>
      </c>
      <c r="X306" s="202">
        <f t="shared" si="429"/>
        <v>350</v>
      </c>
      <c r="Y306" s="453">
        <f t="shared" si="415"/>
        <v>211.36595419107454</v>
      </c>
      <c r="AA306" s="222">
        <f t="shared" si="430"/>
        <v>0.4322200392927309</v>
      </c>
      <c r="AB306" s="178">
        <f t="shared" si="431"/>
        <v>1.4818972775750774</v>
      </c>
      <c r="AC306" s="178">
        <f t="shared" si="432"/>
        <v>0.22417699483945183</v>
      </c>
      <c r="AD306" s="178"/>
      <c r="AE306" s="178">
        <f t="shared" si="433"/>
        <v>0.99428571428571422</v>
      </c>
      <c r="AF306" s="562">
        <f t="shared" si="434"/>
        <v>1248.5136741973847</v>
      </c>
      <c r="AG306" s="545">
        <f t="shared" si="435"/>
        <v>0.10091999999999998</v>
      </c>
      <c r="AI306" s="178">
        <f t="shared" si="436"/>
        <v>0.54772255750516619</v>
      </c>
      <c r="AJ306" s="178">
        <f t="shared" si="437"/>
        <v>0.71571135631286009</v>
      </c>
      <c r="AK306" s="178">
        <f t="shared" si="438"/>
        <v>1.5153417454169333</v>
      </c>
      <c r="AM306" s="562">
        <f t="shared" si="439"/>
        <v>360.00000000000006</v>
      </c>
      <c r="AN306" s="471">
        <f t="shared" si="440"/>
        <v>211.36595419107454</v>
      </c>
      <c r="AP306">
        <f t="shared" si="441"/>
        <v>360.00000000000006</v>
      </c>
      <c r="AQ306">
        <f t="shared" si="442"/>
        <v>211.36595419107454</v>
      </c>
      <c r="AS306" s="5">
        <f t="shared" si="414"/>
        <v>4.7311309138083866</v>
      </c>
      <c r="AT306" s="5">
        <f t="shared" si="443"/>
        <v>2.2772634064500092</v>
      </c>
      <c r="AU306" s="5">
        <f t="shared" si="447"/>
        <v>2.4538675073583773</v>
      </c>
      <c r="AV306" s="5"/>
      <c r="AW306" s="178">
        <f t="shared" si="448"/>
        <v>0.48133595284872299</v>
      </c>
      <c r="AX306" s="178"/>
      <c r="CD306" s="580">
        <f t="shared" si="444"/>
        <v>-50</v>
      </c>
      <c r="CE306">
        <f t="shared" si="445"/>
        <v>-50</v>
      </c>
    </row>
    <row r="307" spans="5:83" x14ac:dyDescent="0.2">
      <c r="E307" s="175">
        <v>91</v>
      </c>
      <c r="F307" s="222">
        <f t="shared" si="446"/>
        <v>0.36400000000000005</v>
      </c>
      <c r="G307" s="222"/>
      <c r="H307" s="222">
        <f t="shared" si="416"/>
        <v>4.3680000000000003</v>
      </c>
      <c r="I307" s="558">
        <f t="shared" si="417"/>
        <v>26.4</v>
      </c>
      <c r="J307" s="453">
        <f t="shared" si="418"/>
        <v>24.5</v>
      </c>
      <c r="K307" s="453">
        <f t="shared" si="419"/>
        <v>50.9</v>
      </c>
      <c r="L307" s="453"/>
      <c r="M307" s="222">
        <f t="shared" si="420"/>
        <v>0.48133595284872299</v>
      </c>
      <c r="N307" s="177">
        <f t="shared" si="421"/>
        <v>8.7521316306483303</v>
      </c>
      <c r="O307" s="177">
        <f t="shared" si="413"/>
        <v>4.3680000000000003</v>
      </c>
      <c r="P307" s="222">
        <f t="shared" si="422"/>
        <v>0.72934430255402749</v>
      </c>
      <c r="Q307" s="222">
        <f t="shared" si="423"/>
        <v>12</v>
      </c>
      <c r="R307" s="222"/>
      <c r="S307" s="177">
        <f t="shared" si="424"/>
        <v>36.842264041507889</v>
      </c>
      <c r="T307" s="177">
        <f t="shared" si="425"/>
        <v>12</v>
      </c>
      <c r="U307" s="222">
        <f t="shared" si="426"/>
        <v>0.72366370471633634</v>
      </c>
      <c r="V307" s="222">
        <f t="shared" si="427"/>
        <v>2.3025663331883428</v>
      </c>
      <c r="W307" s="222">
        <f t="shared" si="428"/>
        <v>2.4811327018845817</v>
      </c>
      <c r="X307" s="202">
        <f t="shared" si="429"/>
        <v>350</v>
      </c>
      <c r="Y307" s="453">
        <f t="shared" si="415"/>
        <v>209.043251397766</v>
      </c>
      <c r="AA307" s="222">
        <f t="shared" si="430"/>
        <v>0.4322200392927309</v>
      </c>
      <c r="AB307" s="178">
        <f t="shared" si="431"/>
        <v>1.4818972775750774</v>
      </c>
      <c r="AC307" s="178">
        <f t="shared" si="432"/>
        <v>0.22417699483945183</v>
      </c>
      <c r="AD307" s="178"/>
      <c r="AE307" s="178">
        <f t="shared" si="433"/>
        <v>0.99428571428571422</v>
      </c>
      <c r="AF307" s="562">
        <f t="shared" si="434"/>
        <v>1262.3860483551332</v>
      </c>
      <c r="AG307" s="545">
        <f t="shared" si="435"/>
        <v>0.10091999999999998</v>
      </c>
      <c r="AI307" s="178">
        <f t="shared" si="436"/>
        <v>0.55075705472861025</v>
      </c>
      <c r="AJ307" s="178">
        <f t="shared" si="437"/>
        <v>0.72366370471633634</v>
      </c>
      <c r="AK307" s="178">
        <f t="shared" si="438"/>
        <v>1.5212323738639528</v>
      </c>
      <c r="AM307" s="562">
        <f t="shared" si="439"/>
        <v>364.00000000000006</v>
      </c>
      <c r="AN307" s="471">
        <f t="shared" si="440"/>
        <v>209.043251397766</v>
      </c>
      <c r="AP307">
        <f t="shared" si="441"/>
        <v>364.00000000000006</v>
      </c>
      <c r="AQ307">
        <f t="shared" si="442"/>
        <v>209.043251397766</v>
      </c>
      <c r="AS307" s="5">
        <f t="shared" si="414"/>
        <v>4.7836990350729245</v>
      </c>
      <c r="AT307" s="5">
        <f t="shared" si="443"/>
        <v>2.3025663331883428</v>
      </c>
      <c r="AU307" s="5">
        <f t="shared" si="447"/>
        <v>2.4811327018845817</v>
      </c>
      <c r="AV307" s="5"/>
      <c r="AW307" s="178">
        <f t="shared" si="448"/>
        <v>0.48133595284872299</v>
      </c>
      <c r="AX307" s="178"/>
      <c r="CD307" s="580">
        <f t="shared" si="444"/>
        <v>-50</v>
      </c>
      <c r="CE307">
        <f t="shared" si="445"/>
        <v>-50</v>
      </c>
    </row>
    <row r="308" spans="5:83" x14ac:dyDescent="0.2">
      <c r="E308" s="175">
        <v>92</v>
      </c>
      <c r="F308" s="222">
        <f t="shared" si="446"/>
        <v>0.36800000000000005</v>
      </c>
      <c r="G308" s="222"/>
      <c r="H308" s="222">
        <f t="shared" si="416"/>
        <v>4.4160000000000004</v>
      </c>
      <c r="I308" s="558">
        <f t="shared" si="417"/>
        <v>26.4</v>
      </c>
      <c r="J308" s="453">
        <f t="shared" si="418"/>
        <v>24.5</v>
      </c>
      <c r="K308" s="453">
        <f t="shared" si="419"/>
        <v>50.9</v>
      </c>
      <c r="L308" s="453"/>
      <c r="M308" s="222">
        <f t="shared" si="420"/>
        <v>0.48133595284872299</v>
      </c>
      <c r="N308" s="177">
        <f t="shared" si="421"/>
        <v>8.7521316306483303</v>
      </c>
      <c r="O308" s="177">
        <f t="shared" si="413"/>
        <v>4.4160000000000004</v>
      </c>
      <c r="P308" s="222">
        <f t="shared" si="422"/>
        <v>0.72934430255402749</v>
      </c>
      <c r="Q308" s="222">
        <f t="shared" si="423"/>
        <v>12</v>
      </c>
      <c r="R308" s="222"/>
      <c r="S308" s="177">
        <f t="shared" si="424"/>
        <v>36.300611853259099</v>
      </c>
      <c r="T308" s="177">
        <f t="shared" si="425"/>
        <v>12</v>
      </c>
      <c r="U308" s="222">
        <f t="shared" si="426"/>
        <v>0.73161605311981259</v>
      </c>
      <c r="V308" s="222">
        <f t="shared" si="427"/>
        <v>2.3278692599266768</v>
      </c>
      <c r="W308" s="222">
        <f t="shared" si="428"/>
        <v>2.508397896410786</v>
      </c>
      <c r="X308" s="202">
        <f t="shared" si="429"/>
        <v>350</v>
      </c>
      <c r="Y308" s="453">
        <f t="shared" si="415"/>
        <v>206.7710421434424</v>
      </c>
      <c r="AA308" s="222">
        <f t="shared" si="430"/>
        <v>0.4322200392927309</v>
      </c>
      <c r="AB308" s="178">
        <f t="shared" si="431"/>
        <v>1.4818972775750774</v>
      </c>
      <c r="AC308" s="178">
        <f t="shared" si="432"/>
        <v>0.22417699483945183</v>
      </c>
      <c r="AD308" s="178"/>
      <c r="AE308" s="178">
        <f t="shared" si="433"/>
        <v>0.99428571428571422</v>
      </c>
      <c r="AF308" s="562">
        <f t="shared" si="434"/>
        <v>1276.2584225128819</v>
      </c>
      <c r="AG308" s="545">
        <f t="shared" si="435"/>
        <v>0.10091999999999998</v>
      </c>
      <c r="AI308" s="178">
        <f t="shared" si="436"/>
        <v>0.55377492419453833</v>
      </c>
      <c r="AJ308" s="178">
        <f t="shared" si="437"/>
        <v>0.73161605311981259</v>
      </c>
      <c r="AK308" s="178">
        <f t="shared" si="438"/>
        <v>1.5271230023109723</v>
      </c>
      <c r="AM308" s="562">
        <f t="shared" si="439"/>
        <v>368.00000000000006</v>
      </c>
      <c r="AN308" s="471">
        <f t="shared" si="440"/>
        <v>206.7710421434424</v>
      </c>
      <c r="AP308">
        <f t="shared" si="441"/>
        <v>368.00000000000006</v>
      </c>
      <c r="AQ308">
        <f t="shared" si="442"/>
        <v>206.7710421434424</v>
      </c>
      <c r="AS308" s="5">
        <f t="shared" si="414"/>
        <v>4.8362671563374642</v>
      </c>
      <c r="AT308" s="5">
        <f t="shared" si="443"/>
        <v>2.3278692599266768</v>
      </c>
      <c r="AU308" s="5">
        <f t="shared" si="447"/>
        <v>2.5083978964107874</v>
      </c>
      <c r="AV308" s="5"/>
      <c r="AW308" s="178">
        <f t="shared" si="448"/>
        <v>0.48133595284872288</v>
      </c>
      <c r="AX308" s="178"/>
      <c r="CD308" s="580">
        <f t="shared" si="444"/>
        <v>-50</v>
      </c>
      <c r="CE308">
        <f t="shared" si="445"/>
        <v>-50</v>
      </c>
    </row>
    <row r="309" spans="5:83" x14ac:dyDescent="0.2">
      <c r="E309" s="175">
        <v>93</v>
      </c>
      <c r="F309" s="222">
        <f t="shared" si="446"/>
        <v>0.37200000000000005</v>
      </c>
      <c r="G309" s="222"/>
      <c r="H309" s="222">
        <f t="shared" si="416"/>
        <v>4.4640000000000004</v>
      </c>
      <c r="I309" s="558">
        <f t="shared" si="417"/>
        <v>26.4</v>
      </c>
      <c r="J309" s="453">
        <f t="shared" si="418"/>
        <v>24.5</v>
      </c>
      <c r="K309" s="453">
        <f t="shared" si="419"/>
        <v>50.9</v>
      </c>
      <c r="L309" s="453"/>
      <c r="M309" s="222">
        <f t="shared" si="420"/>
        <v>0.48133595284872299</v>
      </c>
      <c r="N309" s="177">
        <f t="shared" si="421"/>
        <v>8.7521316306483303</v>
      </c>
      <c r="O309" s="177">
        <f t="shared" si="413"/>
        <v>4.4640000000000004</v>
      </c>
      <c r="P309" s="222">
        <f t="shared" si="422"/>
        <v>0.72934430255402749</v>
      </c>
      <c r="Q309" s="222">
        <f t="shared" si="423"/>
        <v>12</v>
      </c>
      <c r="R309" s="222"/>
      <c r="S309" s="177">
        <f t="shared" si="424"/>
        <v>35.77064638305567</v>
      </c>
      <c r="T309" s="177">
        <f t="shared" si="425"/>
        <v>12</v>
      </c>
      <c r="U309" s="222">
        <f t="shared" si="426"/>
        <v>0.73956840152328884</v>
      </c>
      <c r="V309" s="222">
        <f t="shared" si="427"/>
        <v>2.3531721866650099</v>
      </c>
      <c r="W309" s="222">
        <f t="shared" si="428"/>
        <v>2.5356630909369904</v>
      </c>
      <c r="X309" s="202">
        <f t="shared" si="429"/>
        <v>350</v>
      </c>
      <c r="Y309" s="453">
        <f t="shared" si="415"/>
        <v>204.54769760426564</v>
      </c>
      <c r="AA309" s="222">
        <f t="shared" si="430"/>
        <v>0.4322200392927309</v>
      </c>
      <c r="AB309" s="178">
        <f t="shared" si="431"/>
        <v>1.4818972775750774</v>
      </c>
      <c r="AC309" s="178">
        <f t="shared" si="432"/>
        <v>0.22417699483945183</v>
      </c>
      <c r="AD309" s="178"/>
      <c r="AE309" s="178">
        <f t="shared" si="433"/>
        <v>0.99428571428571422</v>
      </c>
      <c r="AF309" s="562">
        <f t="shared" si="434"/>
        <v>1290.1307966706308</v>
      </c>
      <c r="AG309" s="545">
        <f t="shared" si="435"/>
        <v>0.10091999999999998</v>
      </c>
      <c r="AI309" s="178">
        <f t="shared" si="436"/>
        <v>0.55677643628300222</v>
      </c>
      <c r="AJ309" s="178">
        <f t="shared" si="437"/>
        <v>0.73956840152328884</v>
      </c>
      <c r="AK309" s="178">
        <f t="shared" si="438"/>
        <v>1.5330136307579916</v>
      </c>
      <c r="AM309" s="562">
        <f t="shared" si="439"/>
        <v>372.00000000000006</v>
      </c>
      <c r="AN309" s="471">
        <f t="shared" si="440"/>
        <v>204.54769760426564</v>
      </c>
      <c r="AP309">
        <f t="shared" si="441"/>
        <v>372.00000000000006</v>
      </c>
      <c r="AQ309">
        <f t="shared" si="442"/>
        <v>204.54769760426564</v>
      </c>
      <c r="AS309" s="5">
        <f t="shared" si="414"/>
        <v>4.8888352776020003</v>
      </c>
      <c r="AT309" s="5">
        <f t="shared" si="443"/>
        <v>2.3531721866650099</v>
      </c>
      <c r="AU309" s="5">
        <f t="shared" si="447"/>
        <v>2.5356630909369904</v>
      </c>
      <c r="AV309" s="5"/>
      <c r="AW309" s="178">
        <f t="shared" si="448"/>
        <v>0.48133595284872299</v>
      </c>
      <c r="AX309" s="178"/>
      <c r="CD309" s="580">
        <f t="shared" si="444"/>
        <v>-50</v>
      </c>
      <c r="CE309">
        <f t="shared" si="445"/>
        <v>-50</v>
      </c>
    </row>
    <row r="310" spans="5:83" x14ac:dyDescent="0.2">
      <c r="E310" s="175">
        <v>94</v>
      </c>
      <c r="F310" s="222">
        <f t="shared" si="446"/>
        <v>0.376</v>
      </c>
      <c r="G310" s="222"/>
      <c r="H310" s="222">
        <f t="shared" si="416"/>
        <v>4.5120000000000005</v>
      </c>
      <c r="I310" s="558">
        <f t="shared" si="417"/>
        <v>26.4</v>
      </c>
      <c r="J310" s="453">
        <f t="shared" si="418"/>
        <v>24.5</v>
      </c>
      <c r="K310" s="453">
        <f t="shared" si="419"/>
        <v>50.9</v>
      </c>
      <c r="L310" s="453"/>
      <c r="M310" s="222">
        <f t="shared" si="420"/>
        <v>0.48133595284872299</v>
      </c>
      <c r="N310" s="177">
        <f t="shared" si="421"/>
        <v>8.7521316306483303</v>
      </c>
      <c r="O310" s="177">
        <f t="shared" si="413"/>
        <v>4.5120000000000005</v>
      </c>
      <c r="P310" s="222">
        <f t="shared" si="422"/>
        <v>0.72934430255402749</v>
      </c>
      <c r="Q310" s="222">
        <f t="shared" si="423"/>
        <v>12</v>
      </c>
      <c r="R310" s="222"/>
      <c r="S310" s="177">
        <f t="shared" si="424"/>
        <v>35.25199507580195</v>
      </c>
      <c r="T310" s="177">
        <f t="shared" si="425"/>
        <v>12</v>
      </c>
      <c r="U310" s="222">
        <f t="shared" si="426"/>
        <v>0.74752074992676509</v>
      </c>
      <c r="V310" s="222">
        <f t="shared" si="427"/>
        <v>2.3784751134033435</v>
      </c>
      <c r="W310" s="222">
        <f t="shared" si="428"/>
        <v>2.5629282854631947</v>
      </c>
      <c r="X310" s="202">
        <f t="shared" si="429"/>
        <v>350</v>
      </c>
      <c r="Y310" s="453">
        <f t="shared" si="415"/>
        <v>202.37165826805003</v>
      </c>
      <c r="AA310" s="222">
        <f t="shared" si="430"/>
        <v>0.4322200392927309</v>
      </c>
      <c r="AB310" s="178">
        <f t="shared" si="431"/>
        <v>1.4818972775750774</v>
      </c>
      <c r="AC310" s="178">
        <f t="shared" si="432"/>
        <v>0.22417699483945183</v>
      </c>
      <c r="AD310" s="178"/>
      <c r="AE310" s="178">
        <f t="shared" si="433"/>
        <v>0.99428571428571422</v>
      </c>
      <c r="AF310" s="562">
        <f t="shared" si="434"/>
        <v>1304.0031708283793</v>
      </c>
      <c r="AG310" s="545">
        <f t="shared" si="435"/>
        <v>0.10091999999999998</v>
      </c>
      <c r="AI310" s="178">
        <f t="shared" si="436"/>
        <v>0.55976185412488888</v>
      </c>
      <c r="AJ310" s="178">
        <f t="shared" si="437"/>
        <v>0.74752074992676509</v>
      </c>
      <c r="AK310" s="178">
        <f t="shared" si="438"/>
        <v>1.5389042592050113</v>
      </c>
      <c r="AM310" s="562">
        <f t="shared" si="439"/>
        <v>376</v>
      </c>
      <c r="AN310" s="471">
        <f t="shared" si="440"/>
        <v>202.37165826805003</v>
      </c>
      <c r="AP310">
        <f t="shared" si="441"/>
        <v>376</v>
      </c>
      <c r="AQ310">
        <f t="shared" si="442"/>
        <v>202.37165826805003</v>
      </c>
      <c r="AS310" s="5">
        <f t="shared" si="414"/>
        <v>4.9414033988665382</v>
      </c>
      <c r="AT310" s="5">
        <f t="shared" si="443"/>
        <v>2.3784751134033435</v>
      </c>
      <c r="AU310" s="5">
        <f t="shared" si="447"/>
        <v>2.5629282854631947</v>
      </c>
      <c r="AV310" s="5"/>
      <c r="AW310" s="178">
        <f t="shared" si="448"/>
        <v>0.48133595284872299</v>
      </c>
      <c r="AX310" s="178"/>
      <c r="CD310" s="580">
        <f t="shared" si="444"/>
        <v>-50</v>
      </c>
      <c r="CE310">
        <f t="shared" si="445"/>
        <v>-50</v>
      </c>
    </row>
    <row r="311" spans="5:83" x14ac:dyDescent="0.2">
      <c r="E311" s="175">
        <v>95</v>
      </c>
      <c r="F311" s="222">
        <f t="shared" si="446"/>
        <v>0.38</v>
      </c>
      <c r="G311" s="222"/>
      <c r="H311" s="222">
        <f t="shared" si="416"/>
        <v>4.5600000000000005</v>
      </c>
      <c r="I311" s="558">
        <f t="shared" si="417"/>
        <v>26.4</v>
      </c>
      <c r="J311" s="453">
        <f t="shared" si="418"/>
        <v>24.5</v>
      </c>
      <c r="K311" s="453">
        <f t="shared" si="419"/>
        <v>50.9</v>
      </c>
      <c r="L311" s="453"/>
      <c r="M311" s="222">
        <f t="shared" si="420"/>
        <v>0.48133595284872299</v>
      </c>
      <c r="N311" s="177">
        <f t="shared" si="421"/>
        <v>8.7521316306483303</v>
      </c>
      <c r="O311" s="177">
        <f t="shared" si="413"/>
        <v>4.5600000000000005</v>
      </c>
      <c r="P311" s="222">
        <f t="shared" si="422"/>
        <v>0.72934430255402749</v>
      </c>
      <c r="Q311" s="222">
        <f t="shared" si="423"/>
        <v>12</v>
      </c>
      <c r="R311" s="222"/>
      <c r="S311" s="177">
        <f t="shared" si="424"/>
        <v>34.744301069008131</v>
      </c>
      <c r="T311" s="177">
        <f t="shared" si="425"/>
        <v>12</v>
      </c>
      <c r="U311" s="222">
        <f t="shared" si="426"/>
        <v>0.75547309833024134</v>
      </c>
      <c r="V311" s="222">
        <f t="shared" si="427"/>
        <v>2.4037780401416771</v>
      </c>
      <c r="W311" s="222">
        <f t="shared" si="428"/>
        <v>2.5901934799893986</v>
      </c>
      <c r="X311" s="202">
        <f t="shared" si="429"/>
        <v>350</v>
      </c>
      <c r="Y311" s="453">
        <f t="shared" si="415"/>
        <v>200.24143028628109</v>
      </c>
      <c r="AA311" s="222">
        <f t="shared" si="430"/>
        <v>0.4322200392927309</v>
      </c>
      <c r="AB311" s="178">
        <f t="shared" si="431"/>
        <v>1.4818972775750774</v>
      </c>
      <c r="AC311" s="178">
        <f t="shared" si="432"/>
        <v>0.22417699483945183</v>
      </c>
      <c r="AD311" s="178"/>
      <c r="AE311" s="178">
        <f t="shared" si="433"/>
        <v>0.99428571428571422</v>
      </c>
      <c r="AF311" s="562">
        <f t="shared" si="434"/>
        <v>1317.8755449861278</v>
      </c>
      <c r="AG311" s="545">
        <f t="shared" si="435"/>
        <v>0.10091999999999998</v>
      </c>
      <c r="AI311" s="178">
        <f t="shared" si="436"/>
        <v>0.56273143387113778</v>
      </c>
      <c r="AJ311" s="178">
        <f t="shared" si="437"/>
        <v>0.75547309833024134</v>
      </c>
      <c r="AK311" s="178">
        <f t="shared" si="438"/>
        <v>1.5447948876520305</v>
      </c>
      <c r="AM311" s="562">
        <f t="shared" si="439"/>
        <v>380</v>
      </c>
      <c r="AN311" s="471">
        <f t="shared" si="440"/>
        <v>200.24143028628109</v>
      </c>
      <c r="AP311">
        <f t="shared" si="441"/>
        <v>380</v>
      </c>
      <c r="AQ311">
        <f t="shared" si="442"/>
        <v>200.24143028628109</v>
      </c>
      <c r="AS311" s="5">
        <f t="shared" si="414"/>
        <v>4.9939715201310761</v>
      </c>
      <c r="AT311" s="5">
        <f t="shared" si="443"/>
        <v>2.4037780401416771</v>
      </c>
      <c r="AU311" s="5">
        <f t="shared" si="447"/>
        <v>2.5901934799893991</v>
      </c>
      <c r="AV311" s="5"/>
      <c r="AW311" s="178">
        <f t="shared" si="448"/>
        <v>0.48133595284872299</v>
      </c>
      <c r="AX311" s="178"/>
      <c r="CD311" s="580">
        <f t="shared" si="444"/>
        <v>-50</v>
      </c>
      <c r="CE311">
        <f t="shared" si="445"/>
        <v>-50</v>
      </c>
    </row>
    <row r="312" spans="5:83" x14ac:dyDescent="0.2">
      <c r="E312" s="175">
        <v>96</v>
      </c>
      <c r="F312" s="222">
        <f t="shared" si="446"/>
        <v>0.38400000000000001</v>
      </c>
      <c r="G312" s="222"/>
      <c r="H312" s="222">
        <f t="shared" ref="H312:H316" si="449">F312*Vout</f>
        <v>4.6080000000000005</v>
      </c>
      <c r="I312" s="558">
        <f t="shared" si="417"/>
        <v>26.4</v>
      </c>
      <c r="J312" s="453">
        <f t="shared" si="418"/>
        <v>24.5</v>
      </c>
      <c r="K312" s="453">
        <f t="shared" si="419"/>
        <v>50.9</v>
      </c>
      <c r="L312" s="453"/>
      <c r="M312" s="222">
        <f t="shared" si="420"/>
        <v>0.48133595284872299</v>
      </c>
      <c r="N312" s="177">
        <f t="shared" ref="N312:N316" si="450">M312*I312*Isw_max*0.5*Efficiency</f>
        <v>8.7521316306483303</v>
      </c>
      <c r="O312" s="177">
        <f t="shared" si="413"/>
        <v>4.6080000000000005</v>
      </c>
      <c r="P312" s="222">
        <f t="shared" ref="P312:P316" si="451">N312/Vout</f>
        <v>0.72934430255402749</v>
      </c>
      <c r="Q312" s="222">
        <f t="shared" si="423"/>
        <v>12</v>
      </c>
      <c r="R312" s="222"/>
      <c r="S312" s="177">
        <f t="shared" si="424"/>
        <v>34.247222375571219</v>
      </c>
      <c r="T312" s="177">
        <f t="shared" ref="T312:T316" si="452">MIN(Vout, S312)</f>
        <v>12</v>
      </c>
      <c r="U312" s="222">
        <f t="shared" si="426"/>
        <v>0.76342544673371748</v>
      </c>
      <c r="V312" s="222">
        <f t="shared" ref="V312:V316" si="453">L*U312/I312*1000000</f>
        <v>2.4290809668800102</v>
      </c>
      <c r="W312" s="222">
        <f t="shared" si="428"/>
        <v>2.6174586745156021</v>
      </c>
      <c r="X312" s="202">
        <f t="shared" si="429"/>
        <v>350</v>
      </c>
      <c r="Y312" s="453">
        <f t="shared" si="415"/>
        <v>198.15558205413237</v>
      </c>
      <c r="AA312" s="222">
        <f t="shared" si="430"/>
        <v>0.4322200392927309</v>
      </c>
      <c r="AB312" s="178">
        <f t="shared" ref="AB312:AB316" si="454">L*AA312/J312*1000000</f>
        <v>1.4818972775750774</v>
      </c>
      <c r="AC312" s="178">
        <f t="shared" ref="AC312:AC316" si="455">0.5*AB312*AA312*Nps*X312/1000</f>
        <v>0.22417699483945183</v>
      </c>
      <c r="AD312" s="178"/>
      <c r="AE312" s="178">
        <f t="shared" si="433"/>
        <v>0.99428571428571422</v>
      </c>
      <c r="AF312" s="562">
        <f t="shared" ref="AF312:AF316" si="456">MAX(10000,F312/(0.5*AE312/1000000*Isw_min*Nps))/1000</f>
        <v>1331.7479191438767</v>
      </c>
      <c r="AG312" s="545">
        <f t="shared" si="435"/>
        <v>0.10091999999999998</v>
      </c>
      <c r="AI312" s="178">
        <f t="shared" si="436"/>
        <v>0.56568542494923801</v>
      </c>
      <c r="AJ312" s="178">
        <f t="shared" ref="AJ312:AJ316" si="457">MAX(IF(F312&gt;AC312,U312,AI312),Isw_min)</f>
        <v>0.76342544673371748</v>
      </c>
      <c r="AK312" s="178">
        <f t="shared" ref="AK312:AK316" si="458">IF(F312&gt;AG312, (AJ312-Isw_min)/1.08*0.8+1.2, AF312*0.2/350+1)</f>
        <v>1.55068551609905</v>
      </c>
      <c r="AM312" s="562">
        <f t="shared" si="439"/>
        <v>384</v>
      </c>
      <c r="AN312" s="471">
        <f t="shared" si="440"/>
        <v>198.15558205413237</v>
      </c>
      <c r="AP312">
        <f t="shared" si="441"/>
        <v>384</v>
      </c>
      <c r="AQ312">
        <f t="shared" si="442"/>
        <v>198.15558205413237</v>
      </c>
      <c r="AS312" s="5">
        <f t="shared" si="414"/>
        <v>5.0465396413956123</v>
      </c>
      <c r="AT312" s="5">
        <f t="shared" si="443"/>
        <v>2.4290809668800102</v>
      </c>
      <c r="AU312" s="5">
        <f t="shared" si="447"/>
        <v>2.6174586745156021</v>
      </c>
      <c r="AV312" s="5"/>
      <c r="AW312" s="178">
        <f t="shared" si="448"/>
        <v>0.48133595284872305</v>
      </c>
      <c r="AX312" s="178"/>
      <c r="CD312" s="580">
        <f t="shared" si="444"/>
        <v>-50</v>
      </c>
      <c r="CE312">
        <f t="shared" si="445"/>
        <v>-50</v>
      </c>
    </row>
    <row r="313" spans="5:83" x14ac:dyDescent="0.2">
      <c r="E313" s="175">
        <v>97</v>
      </c>
      <c r="F313" s="222">
        <f t="shared" ref="F313:F316" si="459">IF(PLOT_TYPE=1, E313/100*Iout_max, min_I*EXP(N313*rr/100))</f>
        <v>0.38800000000000001</v>
      </c>
      <c r="G313" s="222"/>
      <c r="H313" s="222">
        <f t="shared" si="449"/>
        <v>4.6560000000000006</v>
      </c>
      <c r="I313" s="558">
        <f t="shared" si="417"/>
        <v>26.4</v>
      </c>
      <c r="J313" s="453">
        <f t="shared" si="418"/>
        <v>24.5</v>
      </c>
      <c r="K313" s="453">
        <f t="shared" si="419"/>
        <v>50.9</v>
      </c>
      <c r="L313" s="453"/>
      <c r="M313" s="222">
        <f t="shared" si="420"/>
        <v>0.48133595284872299</v>
      </c>
      <c r="N313" s="177">
        <f t="shared" si="450"/>
        <v>8.7521316306483303</v>
      </c>
      <c r="O313" s="177">
        <f t="shared" si="413"/>
        <v>4.6560000000000006</v>
      </c>
      <c r="P313" s="222">
        <f t="shared" si="451"/>
        <v>0.72934430255402749</v>
      </c>
      <c r="Q313" s="222">
        <f t="shared" si="423"/>
        <v>12</v>
      </c>
      <c r="R313" s="222"/>
      <c r="S313" s="177">
        <f t="shared" si="424"/>
        <v>33.76043111710748</v>
      </c>
      <c r="T313" s="177">
        <f t="shared" si="452"/>
        <v>12</v>
      </c>
      <c r="U313" s="222">
        <f t="shared" si="426"/>
        <v>0.77137779513719373</v>
      </c>
      <c r="V313" s="222">
        <f t="shared" si="453"/>
        <v>2.4543838936183437</v>
      </c>
      <c r="W313" s="222">
        <f t="shared" si="428"/>
        <v>2.6447238690418073</v>
      </c>
      <c r="X313" s="202">
        <f t="shared" si="429"/>
        <v>350</v>
      </c>
      <c r="Y313" s="453">
        <f t="shared" si="415"/>
        <v>196.11274100202786</v>
      </c>
      <c r="AA313" s="222">
        <f t="shared" si="430"/>
        <v>0.4322200392927309</v>
      </c>
      <c r="AB313" s="178">
        <f t="shared" si="454"/>
        <v>1.4818972775750774</v>
      </c>
      <c r="AC313" s="178">
        <f t="shared" si="455"/>
        <v>0.22417699483945183</v>
      </c>
      <c r="AD313" s="178"/>
      <c r="AE313" s="178">
        <f t="shared" si="433"/>
        <v>0.99428571428571422</v>
      </c>
      <c r="AF313" s="562">
        <f t="shared" si="456"/>
        <v>1345.6202933016255</v>
      </c>
      <c r="AG313" s="545">
        <f t="shared" si="435"/>
        <v>0.10091999999999998</v>
      </c>
      <c r="AI313" s="178">
        <f t="shared" si="436"/>
        <v>0.56862407030773277</v>
      </c>
      <c r="AJ313" s="178">
        <f t="shared" si="457"/>
        <v>0.77137779513719373</v>
      </c>
      <c r="AK313" s="178">
        <f t="shared" si="458"/>
        <v>1.5565761445460695</v>
      </c>
      <c r="AM313" s="562">
        <f t="shared" si="439"/>
        <v>388</v>
      </c>
      <c r="AN313" s="471">
        <f t="shared" si="440"/>
        <v>196.11274100202786</v>
      </c>
      <c r="AP313">
        <f t="shared" si="441"/>
        <v>388</v>
      </c>
      <c r="AQ313">
        <f t="shared" si="442"/>
        <v>196.11274100202786</v>
      </c>
      <c r="AS313" s="5">
        <f t="shared" si="414"/>
        <v>5.0991077626601511</v>
      </c>
      <c r="AT313" s="5">
        <f t="shared" si="443"/>
        <v>2.4543838936183437</v>
      </c>
      <c r="AU313" s="5">
        <f t="shared" si="447"/>
        <v>2.6447238690418073</v>
      </c>
      <c r="AV313" s="5"/>
      <c r="AW313" s="178">
        <f t="shared" si="448"/>
        <v>0.48133595284872299</v>
      </c>
      <c r="AX313" s="178"/>
      <c r="CD313" s="580">
        <f t="shared" si="444"/>
        <v>-50</v>
      </c>
      <c r="CE313">
        <f t="shared" si="445"/>
        <v>-50</v>
      </c>
    </row>
    <row r="314" spans="5:83" x14ac:dyDescent="0.2">
      <c r="E314" s="175">
        <v>98</v>
      </c>
      <c r="F314" s="222">
        <f t="shared" si="459"/>
        <v>0.39200000000000002</v>
      </c>
      <c r="G314" s="222"/>
      <c r="H314" s="222">
        <f t="shared" si="449"/>
        <v>4.7040000000000006</v>
      </c>
      <c r="I314" s="558">
        <f t="shared" si="417"/>
        <v>26.4</v>
      </c>
      <c r="J314" s="453">
        <f t="shared" si="418"/>
        <v>24.5</v>
      </c>
      <c r="K314" s="453">
        <f t="shared" si="419"/>
        <v>50.9</v>
      </c>
      <c r="L314" s="453"/>
      <c r="M314" s="222">
        <f t="shared" si="420"/>
        <v>0.48133595284872299</v>
      </c>
      <c r="N314" s="177">
        <f t="shared" si="450"/>
        <v>8.7521316306483303</v>
      </c>
      <c r="O314" s="177">
        <f t="shared" si="413"/>
        <v>4.7040000000000006</v>
      </c>
      <c r="P314" s="222">
        <f t="shared" si="451"/>
        <v>0.72934430255402749</v>
      </c>
      <c r="Q314" s="222">
        <f t="shared" si="423"/>
        <v>12</v>
      </c>
      <c r="R314" s="222"/>
      <c r="S314" s="177">
        <f t="shared" si="424"/>
        <v>33.283612804225882</v>
      </c>
      <c r="T314" s="177">
        <f t="shared" si="452"/>
        <v>12</v>
      </c>
      <c r="U314" s="222">
        <f t="shared" si="426"/>
        <v>0.77933014354066998</v>
      </c>
      <c r="V314" s="222">
        <f t="shared" si="453"/>
        <v>2.4796868203566773</v>
      </c>
      <c r="W314" s="222">
        <f t="shared" si="428"/>
        <v>2.6719890635680112</v>
      </c>
      <c r="X314" s="202">
        <f t="shared" si="429"/>
        <v>350</v>
      </c>
      <c r="Y314" s="453">
        <f t="shared" si="415"/>
        <v>194.11159058363984</v>
      </c>
      <c r="AA314" s="222">
        <f t="shared" si="430"/>
        <v>0.4322200392927309</v>
      </c>
      <c r="AB314" s="178">
        <f t="shared" si="454"/>
        <v>1.4818972775750774</v>
      </c>
      <c r="AC314" s="178">
        <f t="shared" si="455"/>
        <v>0.22417699483945183</v>
      </c>
      <c r="AD314" s="178"/>
      <c r="AE314" s="178">
        <f t="shared" si="433"/>
        <v>0.99428571428571422</v>
      </c>
      <c r="AF314" s="562">
        <f t="shared" si="456"/>
        <v>1359.4926674593742</v>
      </c>
      <c r="AG314" s="545">
        <f t="shared" si="435"/>
        <v>0.10091999999999998</v>
      </c>
      <c r="AI314" s="178">
        <f t="shared" si="436"/>
        <v>0.57154760664940829</v>
      </c>
      <c r="AJ314" s="178">
        <f t="shared" si="457"/>
        <v>0.77933014354066998</v>
      </c>
      <c r="AK314" s="178">
        <f t="shared" si="458"/>
        <v>1.5624667729930888</v>
      </c>
      <c r="AM314" s="562">
        <f t="shared" si="439"/>
        <v>392</v>
      </c>
      <c r="AN314" s="471">
        <f t="shared" si="440"/>
        <v>194.11159058363984</v>
      </c>
      <c r="AP314">
        <f t="shared" si="441"/>
        <v>392</v>
      </c>
      <c r="AQ314">
        <f t="shared" si="442"/>
        <v>194.11159058363984</v>
      </c>
      <c r="AS314" s="5">
        <f t="shared" si="414"/>
        <v>5.1516758839246881</v>
      </c>
      <c r="AT314" s="5">
        <f t="shared" si="443"/>
        <v>2.4796868203566773</v>
      </c>
      <c r="AU314" s="5">
        <f t="shared" si="447"/>
        <v>2.6719890635680108</v>
      </c>
      <c r="AV314" s="5"/>
      <c r="AW314" s="178">
        <f t="shared" si="448"/>
        <v>0.48133595284872305</v>
      </c>
      <c r="AX314" s="178"/>
      <c r="CD314" s="580">
        <f t="shared" si="444"/>
        <v>-50</v>
      </c>
      <c r="CE314">
        <f t="shared" si="445"/>
        <v>-50</v>
      </c>
    </row>
    <row r="315" spans="5:83" x14ac:dyDescent="0.2">
      <c r="E315" s="175">
        <v>99</v>
      </c>
      <c r="F315" s="222">
        <f t="shared" si="459"/>
        <v>0.39600000000000002</v>
      </c>
      <c r="G315" s="222"/>
      <c r="H315" s="222">
        <f t="shared" si="449"/>
        <v>4.7520000000000007</v>
      </c>
      <c r="I315" s="558">
        <f t="shared" si="417"/>
        <v>26.4</v>
      </c>
      <c r="J315" s="453">
        <f t="shared" si="418"/>
        <v>24.5</v>
      </c>
      <c r="K315" s="453">
        <f t="shared" si="419"/>
        <v>50.9</v>
      </c>
      <c r="L315" s="453"/>
      <c r="M315" s="222">
        <f t="shared" si="420"/>
        <v>0.48133595284872299</v>
      </c>
      <c r="N315" s="177">
        <f t="shared" si="450"/>
        <v>8.7521316306483303</v>
      </c>
      <c r="O315" s="177">
        <f t="shared" si="413"/>
        <v>4.7520000000000007</v>
      </c>
      <c r="P315" s="222">
        <f t="shared" si="451"/>
        <v>0.72934430255402749</v>
      </c>
      <c r="Q315" s="222">
        <f t="shared" si="423"/>
        <v>12</v>
      </c>
      <c r="R315" s="222"/>
      <c r="S315" s="177">
        <f t="shared" si="424"/>
        <v>32.816465660423333</v>
      </c>
      <c r="T315" s="177">
        <f t="shared" si="452"/>
        <v>12</v>
      </c>
      <c r="U315" s="222">
        <f t="shared" si="426"/>
        <v>0.78728249194414623</v>
      </c>
      <c r="V315" s="222">
        <f t="shared" si="453"/>
        <v>2.5049897470950109</v>
      </c>
      <c r="W315" s="222">
        <f t="shared" si="428"/>
        <v>2.6992542580942156</v>
      </c>
      <c r="X315" s="202">
        <f t="shared" si="429"/>
        <v>350</v>
      </c>
      <c r="Y315" s="453">
        <f t="shared" si="415"/>
        <v>192.15086744643136</v>
      </c>
      <c r="AA315" s="222">
        <f t="shared" si="430"/>
        <v>0.4322200392927309</v>
      </c>
      <c r="AB315" s="178">
        <f t="shared" si="454"/>
        <v>1.4818972775750774</v>
      </c>
      <c r="AC315" s="178">
        <f t="shared" si="455"/>
        <v>0.22417699483945183</v>
      </c>
      <c r="AD315" s="178"/>
      <c r="AE315" s="178">
        <f t="shared" si="433"/>
        <v>0.99428571428571422</v>
      </c>
      <c r="AF315" s="562">
        <f t="shared" si="456"/>
        <v>1373.3650416171229</v>
      </c>
      <c r="AG315" s="545">
        <f t="shared" si="435"/>
        <v>0.10091999999999998</v>
      </c>
      <c r="AI315" s="178">
        <f t="shared" si="436"/>
        <v>0.57445626465380284</v>
      </c>
      <c r="AJ315" s="178">
        <f t="shared" si="457"/>
        <v>0.78728249194414623</v>
      </c>
      <c r="AK315" s="178">
        <f t="shared" si="458"/>
        <v>1.5683574014401083</v>
      </c>
      <c r="AM315" s="562">
        <f t="shared" si="439"/>
        <v>396</v>
      </c>
      <c r="AN315" s="471">
        <f t="shared" si="440"/>
        <v>192.15086744643136</v>
      </c>
      <c r="AP315">
        <f t="shared" si="441"/>
        <v>396</v>
      </c>
      <c r="AQ315">
        <f t="shared" si="442"/>
        <v>192.15086744643136</v>
      </c>
      <c r="AS315" s="5">
        <f t="shared" si="414"/>
        <v>5.204244005189226</v>
      </c>
      <c r="AT315" s="5">
        <f t="shared" si="443"/>
        <v>2.5049897470950109</v>
      </c>
      <c r="AU315" s="5">
        <f t="shared" si="447"/>
        <v>2.6992542580942152</v>
      </c>
      <c r="AV315" s="5"/>
      <c r="AW315" s="178">
        <f t="shared" si="448"/>
        <v>0.48133595284872305</v>
      </c>
      <c r="AX315" s="178"/>
      <c r="CD315" s="580">
        <f t="shared" si="444"/>
        <v>-50</v>
      </c>
      <c r="CE315">
        <f t="shared" si="445"/>
        <v>-50</v>
      </c>
    </row>
    <row r="316" spans="5:83" x14ac:dyDescent="0.2">
      <c r="E316" s="175">
        <v>100</v>
      </c>
      <c r="F316" s="222">
        <f t="shared" si="459"/>
        <v>0.4</v>
      </c>
      <c r="G316" s="222"/>
      <c r="H316" s="222">
        <f t="shared" si="449"/>
        <v>4.8000000000000007</v>
      </c>
      <c r="I316" s="558">
        <f t="shared" si="417"/>
        <v>26.4</v>
      </c>
      <c r="J316" s="453">
        <f t="shared" si="418"/>
        <v>24.5</v>
      </c>
      <c r="K316" s="453">
        <f t="shared" si="419"/>
        <v>50.9</v>
      </c>
      <c r="L316" s="453"/>
      <c r="M316" s="222">
        <f t="shared" si="420"/>
        <v>0.48133595284872299</v>
      </c>
      <c r="N316" s="177">
        <f t="shared" si="450"/>
        <v>8.7521316306483303</v>
      </c>
      <c r="O316" s="177">
        <f t="shared" si="413"/>
        <v>4.8000000000000007</v>
      </c>
      <c r="P316" s="222">
        <f t="shared" si="451"/>
        <v>0.72934430255402749</v>
      </c>
      <c r="Q316" s="222">
        <f t="shared" si="423"/>
        <v>12</v>
      </c>
      <c r="R316" s="222"/>
      <c r="S316" s="177">
        <f t="shared" si="424"/>
        <v>32.358699986548409</v>
      </c>
      <c r="T316" s="177">
        <f t="shared" si="452"/>
        <v>12</v>
      </c>
      <c r="U316" s="222">
        <f t="shared" si="426"/>
        <v>0.79523484034762248</v>
      </c>
      <c r="V316" s="222">
        <f t="shared" si="453"/>
        <v>2.530292673833344</v>
      </c>
      <c r="W316" s="222">
        <f t="shared" si="428"/>
        <v>2.7265194526204199</v>
      </c>
      <c r="X316" s="202">
        <f t="shared" si="429"/>
        <v>350</v>
      </c>
      <c r="Y316" s="453">
        <f t="shared" si="415"/>
        <v>190.22935877196704</v>
      </c>
      <c r="AA316" s="222">
        <f t="shared" si="430"/>
        <v>0.4322200392927309</v>
      </c>
      <c r="AB316" s="178">
        <f t="shared" si="454"/>
        <v>1.4818972775750774</v>
      </c>
      <c r="AC316" s="178">
        <f t="shared" si="455"/>
        <v>0.22417699483945183</v>
      </c>
      <c r="AD316" s="178"/>
      <c r="AE316" s="178">
        <f t="shared" si="433"/>
        <v>0.99428571428571422</v>
      </c>
      <c r="AF316" s="562">
        <f t="shared" si="456"/>
        <v>1387.2374157748716</v>
      </c>
      <c r="AG316" s="545">
        <f t="shared" si="435"/>
        <v>0.10091999999999998</v>
      </c>
      <c r="AI316" s="178">
        <f t="shared" si="436"/>
        <v>0.57735026918962584</v>
      </c>
      <c r="AJ316" s="178">
        <f t="shared" si="457"/>
        <v>0.79523484034762248</v>
      </c>
      <c r="AK316" s="178">
        <f t="shared" si="458"/>
        <v>1.5742480298871278</v>
      </c>
      <c r="AM316" s="562">
        <f t="shared" si="439"/>
        <v>400</v>
      </c>
      <c r="AN316" s="471">
        <f t="shared" si="440"/>
        <v>190.22935877196704</v>
      </c>
      <c r="AP316">
        <f t="shared" si="441"/>
        <v>400</v>
      </c>
      <c r="AQ316">
        <f t="shared" si="442"/>
        <v>190.22935877196704</v>
      </c>
      <c r="AS316" s="5">
        <f t="shared" si="414"/>
        <v>5.2568121264537639</v>
      </c>
      <c r="AT316" s="5">
        <f t="shared" si="443"/>
        <v>2.530292673833344</v>
      </c>
      <c r="AU316" s="5">
        <f t="shared" si="447"/>
        <v>2.7265194526204199</v>
      </c>
      <c r="AV316" s="5"/>
      <c r="AW316" s="178">
        <f t="shared" si="448"/>
        <v>0.48133595284872294</v>
      </c>
      <c r="AX316" s="178"/>
      <c r="CD316" s="580">
        <f t="shared" si="444"/>
        <v>-50</v>
      </c>
      <c r="CE316">
        <f t="shared" si="445"/>
        <v>-50</v>
      </c>
    </row>
    <row r="317" spans="5:83" x14ac:dyDescent="0.2">
      <c r="E317" s="175"/>
      <c r="F317" s="222"/>
      <c r="G317" s="222"/>
      <c r="CD317" s="580"/>
    </row>
    <row r="318" spans="5:83" x14ac:dyDescent="0.2">
      <c r="CD318" s="580"/>
    </row>
    <row r="319" spans="5:83" x14ac:dyDescent="0.2">
      <c r="CD319" s="580"/>
    </row>
    <row r="320" spans="5:83" x14ac:dyDescent="0.2">
      <c r="CD320" s="580"/>
    </row>
    <row r="321" spans="82:82" x14ac:dyDescent="0.2">
      <c r="CD321" s="580"/>
    </row>
  </sheetData>
  <mergeCells count="1">
    <mergeCell ref="M3:AA3"/>
  </mergeCells>
  <phoneticPr fontId="82"/>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7030A0"/>
  </sheetPr>
  <dimension ref="B1:CE317"/>
  <sheetViews>
    <sheetView topLeftCell="W1" zoomScaleNormal="100" workbookViewId="0">
      <selection activeCell="BJ5" sqref="BJ5"/>
    </sheetView>
  </sheetViews>
  <sheetFormatPr defaultRowHeight="12.75" x14ac:dyDescent="0.2"/>
  <cols>
    <col min="1" max="1" width="2.85546875" customWidth="1"/>
    <col min="2" max="2" width="3.5703125" customWidth="1"/>
    <col min="3" max="3" width="2.85546875" customWidth="1"/>
    <col min="4" max="4" width="3.7109375" customWidth="1"/>
    <col min="5" max="5" width="6.140625" customWidth="1"/>
    <col min="6" max="7" width="7.7109375" customWidth="1"/>
    <col min="8" max="9" width="7.85546875" customWidth="1"/>
    <col min="10" max="10" width="6.28515625" customWidth="1"/>
    <col min="11" max="11" width="9.5703125" customWidth="1"/>
    <col min="12" max="12" width="9.28515625" customWidth="1"/>
    <col min="13" max="13" width="1.85546875" customWidth="1"/>
    <col min="14" max="14" width="8.42578125" customWidth="1"/>
    <col min="15" max="16" width="9.5703125" customWidth="1"/>
    <col min="17" max="18" width="8.85546875" customWidth="1"/>
    <col min="19" max="19" width="8.5703125" customWidth="1"/>
    <col min="20" max="20" width="7.5703125" customWidth="1"/>
    <col min="21" max="21" width="9" customWidth="1"/>
    <col min="22" max="22" width="8.85546875" customWidth="1"/>
    <col min="23" max="23" width="10" customWidth="1"/>
    <col min="24" max="24" width="9.5703125" customWidth="1"/>
    <col min="25" max="25" width="1.85546875" customWidth="1"/>
    <col min="26" max="26" width="9.85546875" customWidth="1"/>
    <col min="27" max="27" width="10.42578125" customWidth="1"/>
    <col min="28" max="28" width="10.140625" customWidth="1"/>
    <col min="29" max="29" width="2" customWidth="1"/>
    <col min="30" max="30" width="9.140625" customWidth="1"/>
    <col min="31" max="31" width="9.42578125" customWidth="1"/>
    <col min="32" max="32" width="10.42578125" customWidth="1"/>
    <col min="33" max="33" width="2.140625" customWidth="1"/>
    <col min="35" max="35" width="8" customWidth="1"/>
    <col min="37" max="37" width="2.28515625" customWidth="1"/>
    <col min="38" max="38" width="6.5703125" customWidth="1"/>
    <col min="39" max="39" width="7.5703125" customWidth="1"/>
    <col min="40" max="40" width="2" customWidth="1"/>
    <col min="41" max="41" width="6.42578125" customWidth="1"/>
    <col min="42" max="42" width="7.5703125" customWidth="1"/>
    <col min="43" max="43" width="2.140625" customWidth="1"/>
    <col min="44" max="46" width="7" customWidth="1"/>
    <col min="47" max="47" width="8.42578125" customWidth="1"/>
    <col min="48" max="48" width="2.140625" customWidth="1"/>
    <col min="49" max="50" width="9.42578125" customWidth="1"/>
    <col min="51" max="51" width="9.85546875" customWidth="1"/>
    <col min="52" max="52" width="2" customWidth="1"/>
    <col min="56" max="56" width="2.140625" customWidth="1"/>
    <col min="57" max="57" width="9" customWidth="1"/>
    <col min="58" max="59" width="8.140625" customWidth="1"/>
    <col min="60" max="60" width="8.7109375" customWidth="1"/>
    <col min="61" max="63" width="7.5703125" customWidth="1"/>
    <col min="64" max="65" width="10.28515625" customWidth="1"/>
    <col min="66" max="66" width="9.42578125" customWidth="1"/>
    <col min="67" max="67" width="9.5703125" customWidth="1"/>
    <col min="68" max="68" width="10" customWidth="1"/>
    <col min="69" max="69" width="8.7109375" customWidth="1"/>
    <col min="72" max="73" width="9.85546875" customWidth="1"/>
    <col min="74" max="74" width="12.140625" customWidth="1"/>
    <col min="75" max="75" width="9.140625" customWidth="1"/>
    <col min="77" max="77" width="7.7109375" customWidth="1"/>
    <col min="78" max="78" width="10.42578125" customWidth="1"/>
    <col min="79" max="79" width="12.42578125" bestFit="1" customWidth="1"/>
    <col min="80" max="80" width="6.5703125" customWidth="1"/>
    <col min="81" max="81" width="5" customWidth="1"/>
    <col min="82" max="82" width="9.5703125" customWidth="1"/>
  </cols>
  <sheetData>
    <row r="1" spans="2:83" x14ac:dyDescent="0.2">
      <c r="B1" s="455" t="s">
        <v>530</v>
      </c>
    </row>
    <row r="2" spans="2:83" ht="13.5" thickBot="1" x14ac:dyDescent="0.25">
      <c r="AW2">
        <f>Vout_ripple</f>
        <v>120</v>
      </c>
    </row>
    <row r="3" spans="2:83" x14ac:dyDescent="0.2">
      <c r="E3" s="225" t="s">
        <v>432</v>
      </c>
      <c r="F3" s="557"/>
      <c r="G3" s="557"/>
      <c r="H3" s="557"/>
      <c r="I3" s="557"/>
      <c r="J3" s="226"/>
      <c r="K3" s="227"/>
      <c r="L3" s="541"/>
      <c r="M3" s="541"/>
      <c r="N3" s="689" t="s">
        <v>190</v>
      </c>
      <c r="O3" s="690"/>
      <c r="P3" s="691"/>
      <c r="Q3" s="689"/>
      <c r="R3" s="691"/>
      <c r="S3" s="689"/>
      <c r="T3" s="689"/>
      <c r="U3" s="690"/>
      <c r="V3" s="690"/>
      <c r="W3" s="689"/>
      <c r="X3" s="690"/>
      <c r="Y3" s="689"/>
      <c r="Z3" s="692"/>
      <c r="AA3" s="550"/>
      <c r="AB3" s="550"/>
      <c r="AC3" s="550"/>
      <c r="AD3" s="550"/>
      <c r="AE3" s="550"/>
      <c r="AF3" s="550"/>
      <c r="AG3" s="550"/>
      <c r="AH3" s="550"/>
      <c r="AI3" s="550"/>
      <c r="AJ3" s="550"/>
      <c r="AK3" s="550"/>
      <c r="AL3" s="550"/>
      <c r="AM3" s="550"/>
      <c r="AN3" s="550"/>
      <c r="AO3" s="550"/>
      <c r="AP3" s="550"/>
      <c r="AQ3" s="550"/>
      <c r="AR3" s="550" t="s">
        <v>471</v>
      </c>
      <c r="AS3" s="550"/>
      <c r="AT3" s="550"/>
      <c r="AU3" s="550"/>
      <c r="AV3" s="550"/>
      <c r="AW3" s="550" t="s">
        <v>481</v>
      </c>
      <c r="AX3" s="550" t="s">
        <v>481</v>
      </c>
      <c r="AY3" s="550"/>
      <c r="AZ3" s="550"/>
      <c r="BA3" s="576" t="s">
        <v>482</v>
      </c>
      <c r="BB3" s="550"/>
      <c r="BC3" s="550"/>
      <c r="BD3" s="550"/>
      <c r="BE3" s="576" t="s">
        <v>506</v>
      </c>
      <c r="BF3" s="550"/>
      <c r="BG3" s="550"/>
      <c r="BH3" s="550"/>
      <c r="BI3" s="550"/>
      <c r="BJ3" s="550"/>
      <c r="BK3" s="550"/>
      <c r="BL3" s="576" t="s">
        <v>502</v>
      </c>
      <c r="BM3" s="550"/>
      <c r="BN3" s="550"/>
      <c r="BO3" s="550"/>
      <c r="BP3" s="550"/>
      <c r="BQ3" s="577" t="s">
        <v>503</v>
      </c>
      <c r="BR3" s="550"/>
      <c r="BS3" s="550"/>
      <c r="BT3" s="550"/>
      <c r="BU3" s="550"/>
      <c r="BV3" s="550"/>
      <c r="BW3" s="550"/>
      <c r="BX3" s="576"/>
      <c r="BY3" s="550"/>
      <c r="BZ3" s="550"/>
      <c r="CA3" s="550"/>
      <c r="CB3" s="550"/>
    </row>
    <row r="4" spans="2:83" ht="45" customHeight="1" thickBot="1" x14ac:dyDescent="0.25">
      <c r="E4" s="246" t="s">
        <v>25</v>
      </c>
      <c r="F4" s="624" t="s">
        <v>599</v>
      </c>
      <c r="G4" s="454" t="s">
        <v>598</v>
      </c>
      <c r="H4" s="625" t="s">
        <v>600</v>
      </c>
      <c r="I4" s="626" t="s">
        <v>601</v>
      </c>
      <c r="J4" s="247" t="s">
        <v>423</v>
      </c>
      <c r="K4" s="248" t="s">
        <v>605</v>
      </c>
      <c r="L4" s="627" t="s">
        <v>424</v>
      </c>
      <c r="M4" s="628"/>
      <c r="N4" s="249" t="s">
        <v>48</v>
      </c>
      <c r="O4" s="628" t="s">
        <v>609</v>
      </c>
      <c r="P4" s="628" t="s">
        <v>625</v>
      </c>
      <c r="Q4" s="628" t="s">
        <v>602</v>
      </c>
      <c r="R4" s="628" t="s">
        <v>603</v>
      </c>
      <c r="S4" s="628" t="s">
        <v>604</v>
      </c>
      <c r="T4" s="628" t="s">
        <v>425</v>
      </c>
      <c r="U4" s="628" t="s">
        <v>477</v>
      </c>
      <c r="V4" s="628" t="s">
        <v>476</v>
      </c>
      <c r="W4" s="629" t="s">
        <v>431</v>
      </c>
      <c r="X4" s="630" t="s">
        <v>436</v>
      </c>
      <c r="Z4" s="250" t="s">
        <v>428</v>
      </c>
      <c r="AA4" s="250" t="s">
        <v>475</v>
      </c>
      <c r="AB4" s="250" t="s">
        <v>606</v>
      </c>
      <c r="AC4" s="561"/>
      <c r="AD4" s="250" t="s">
        <v>474</v>
      </c>
      <c r="AE4" s="629" t="s">
        <v>437</v>
      </c>
      <c r="AF4" s="250" t="s">
        <v>607</v>
      </c>
      <c r="AG4" s="561"/>
      <c r="AH4" s="250" t="s">
        <v>440</v>
      </c>
      <c r="AI4" s="565" t="s">
        <v>441</v>
      </c>
      <c r="AJ4" s="565" t="s">
        <v>442</v>
      </c>
      <c r="AL4" s="560" t="s">
        <v>276</v>
      </c>
      <c r="AM4" s="560" t="s">
        <v>443</v>
      </c>
      <c r="AO4" s="250" t="s">
        <v>276</v>
      </c>
      <c r="AP4" s="250" t="s">
        <v>443</v>
      </c>
      <c r="AQ4" s="566"/>
      <c r="AR4" s="250" t="s">
        <v>478</v>
      </c>
      <c r="AS4" s="250" t="s">
        <v>472</v>
      </c>
      <c r="AT4" s="250" t="s">
        <v>473</v>
      </c>
      <c r="AU4" s="250" t="s">
        <v>48</v>
      </c>
      <c r="AV4" s="561"/>
      <c r="AW4" s="250" t="s">
        <v>610</v>
      </c>
      <c r="AX4" s="250" t="s">
        <v>611</v>
      </c>
      <c r="AY4" s="250" t="s">
        <v>529</v>
      </c>
      <c r="AZ4" s="561"/>
      <c r="BA4" s="575" t="s">
        <v>467</v>
      </c>
      <c r="BB4" s="250" t="s">
        <v>618</v>
      </c>
      <c r="BC4" s="250" t="s">
        <v>617</v>
      </c>
      <c r="BD4" s="561"/>
      <c r="BE4" s="575" t="s">
        <v>485</v>
      </c>
      <c r="BF4" s="250" t="s">
        <v>486</v>
      </c>
      <c r="BG4" s="250" t="s">
        <v>484</v>
      </c>
      <c r="BH4" s="250" t="s">
        <v>480</v>
      </c>
      <c r="BI4" s="250" t="s">
        <v>489</v>
      </c>
      <c r="BJ4" s="250" t="s">
        <v>696</v>
      </c>
      <c r="BK4" s="250" t="s">
        <v>504</v>
      </c>
      <c r="BL4" s="575" t="s">
        <v>620</v>
      </c>
      <c r="BM4" s="250" t="s">
        <v>619</v>
      </c>
      <c r="BN4" s="250" t="s">
        <v>488</v>
      </c>
      <c r="BO4" s="250" t="s">
        <v>496</v>
      </c>
      <c r="BP4" s="250" t="s">
        <v>500</v>
      </c>
      <c r="BQ4" s="575" t="s">
        <v>469</v>
      </c>
      <c r="BR4" s="250" t="s">
        <v>622</v>
      </c>
      <c r="BS4" s="250" t="s">
        <v>621</v>
      </c>
      <c r="BT4" s="250" t="s">
        <v>479</v>
      </c>
      <c r="BU4" s="250" t="s">
        <v>702</v>
      </c>
      <c r="BV4" s="250" t="s">
        <v>497</v>
      </c>
      <c r="BW4" s="250" t="s">
        <v>499</v>
      </c>
      <c r="BX4" s="575" t="s">
        <v>495</v>
      </c>
      <c r="BY4" s="250" t="s">
        <v>224</v>
      </c>
      <c r="BZ4" s="250" t="s">
        <v>47</v>
      </c>
      <c r="CA4" s="250" t="s">
        <v>498</v>
      </c>
      <c r="CB4" s="250" t="s">
        <v>623</v>
      </c>
      <c r="CD4" s="588" t="s">
        <v>511</v>
      </c>
    </row>
    <row r="5" spans="2:83" x14ac:dyDescent="0.2">
      <c r="E5" s="175">
        <v>0.1</v>
      </c>
      <c r="F5" s="222">
        <v>1.0000000000000001E-9</v>
      </c>
      <c r="G5" s="222">
        <v>1.0000000000000001E-9</v>
      </c>
      <c r="H5" s="222">
        <f t="shared" ref="H5:H36" si="0">F5*Vout</f>
        <v>1.2000000000000002E-8</v>
      </c>
      <c r="I5" s="222">
        <f>G5*Vout2</f>
        <v>1.2000000000000002E-8</v>
      </c>
      <c r="J5" s="558">
        <f t="shared" ref="J5:J68" si="1">Vin</f>
        <v>24</v>
      </c>
      <c r="K5" s="453">
        <f t="shared" ref="K5:K68" si="2">(S5+Vfwd1)*Nps</f>
        <v>24.5</v>
      </c>
      <c r="L5" s="453">
        <f t="shared" ref="L5:L68" si="3">(Vout+Vfwd1)*Nps+J5</f>
        <v>48.5</v>
      </c>
      <c r="M5" s="453"/>
      <c r="N5" s="222">
        <f t="shared" ref="N5:N68" si="4">(Vout+Vfwd1)*Nps/((Vout+Vfwd1)*Nps+J5)</f>
        <v>0.50515463917525771</v>
      </c>
      <c r="O5" s="177">
        <f>N5*J5*Isw_max*0.5*Efficiency*(Pout/Pout_total)</f>
        <v>8.3502061855670089</v>
      </c>
      <c r="P5" s="177">
        <f t="shared" ref="P5:P36" si="5">N5*J5*Isw_max*0.5*Efficiency*(Pout2/Pout_total)</f>
        <v>4.1751030927835044</v>
      </c>
      <c r="Q5" s="222">
        <f t="shared" ref="Q5:Q68" si="6">O5/Vout</f>
        <v>0.69585051546391741</v>
      </c>
      <c r="R5" s="222">
        <f t="shared" ref="R5:R36" si="7">O5/Vout2</f>
        <v>0.69585051546391741</v>
      </c>
      <c r="S5" s="453">
        <f t="shared" ref="S5:S36" si="8">MIN(Vout,O5/F5)</f>
        <v>12</v>
      </c>
      <c r="T5" s="222">
        <f t="shared" ref="T5:T36" si="9">MIN(2*(Vout*F5+Vout2*G5)/(Efficiency*J5*N5), Isw_max)</f>
        <v>4.1675617615467248E-9</v>
      </c>
      <c r="U5" s="222">
        <f t="shared" ref="U5:U68" si="10">L*T5/J5*1000000</f>
        <v>1.4586466165413536E-8</v>
      </c>
      <c r="V5" s="222">
        <f t="shared" ref="V5:V68" si="11">L*T5/K5*1000000</f>
        <v>1.4288783182445914E-8</v>
      </c>
      <c r="W5" s="202">
        <f t="shared" ref="W5:W68" si="12">IF(1/((350000*L)*(1/J5+1/K5))&gt;Isw_min, 350, 0.001/((Isw_min*L)*(1/J5+1/K5)))</f>
        <v>350</v>
      </c>
      <c r="X5" s="453">
        <f>MIN(1/(U5+V5)*1000, 350)</f>
        <v>350</v>
      </c>
      <c r="Z5" s="222">
        <f t="shared" ref="Z5:Z68" si="13">1/((W5*1000*L)*(1/J5+1/K5))</f>
        <v>0.41237113402061859</v>
      </c>
      <c r="AA5" s="178">
        <f t="shared" ref="AA5:AA68" si="14">L*Z5/K5*1000000</f>
        <v>1.4138438880706923</v>
      </c>
      <c r="AB5" s="178">
        <f t="shared" ref="AB5:AB36" si="15">0.5*AA5*Z5*Nps*W5/1000*(Pout/Pout_total)</f>
        <v>0.20405994260814117</v>
      </c>
      <c r="AC5" s="178"/>
      <c r="AD5" s="178">
        <f t="shared" ref="AD5:AD68" si="16">L*Isw_min/K5*1000000</f>
        <v>0.99428571428571422</v>
      </c>
      <c r="AE5" s="562">
        <f t="shared" ref="AE5:AE36" si="17">MAX(10, F5/(0.5*AD5/1000000*Isw_min*Nps)/1000*Pout_total/Pout)</f>
        <v>10</v>
      </c>
      <c r="AF5" s="545">
        <f t="shared" ref="AF5:AF36" si="18">0.5*AD5/1000000*Isw_min*Nps*W5*1000*(Pout/Pout_total)</f>
        <v>0.10091999999999998</v>
      </c>
      <c r="AH5" s="178">
        <f t="shared" ref="AH5:AH36" si="19">SQRT((H5+I5)/(0.5*L*Fsw_DCM))</f>
        <v>4.0406101782088433E-5</v>
      </c>
      <c r="AI5" s="178">
        <f t="shared" ref="AI5:AI36" si="20">MAX(IF(F5&gt;AB5,T5,AH5),Isw_min)</f>
        <v>0.28999999999999998</v>
      </c>
      <c r="AJ5" s="178">
        <f t="shared" ref="AJ5:AJ36" si="21">IF(F5&gt;AF5, (AI5-Isw_min)/1.08*0.8+1.2, AE5*0.2/350+1)</f>
        <v>1.0057142857142858</v>
      </c>
      <c r="AL5" s="562">
        <f t="shared" ref="AL5:AL36" si="22">F5*1000</f>
        <v>1.0000000000000002E-6</v>
      </c>
      <c r="AM5" s="471">
        <f t="shared" ref="AM5:AM36" si="23">IF(F5&gt;AF5, X5, AE5)</f>
        <v>10</v>
      </c>
      <c r="AO5">
        <f>IF(H5&gt;O5, "",AL5)</f>
        <v>1.0000000000000002E-6</v>
      </c>
      <c r="AP5" s="471">
        <f t="shared" ref="AP5:AP68" si="24">IF(H5&gt;O5, "",AM5)</f>
        <v>10</v>
      </c>
      <c r="AQ5" s="471"/>
      <c r="AR5" s="5">
        <f>1/AM5*1000</f>
        <v>100</v>
      </c>
      <c r="AS5" s="5">
        <f t="shared" ref="AS5:AS68" si="25">L*AI5/J5*1000000</f>
        <v>1.0149999999999999</v>
      </c>
      <c r="AT5" s="5">
        <f>AR5-AS5</f>
        <v>98.984999999999999</v>
      </c>
      <c r="AU5" s="178">
        <f>AS5/AR5</f>
        <v>1.0149999999999999E-2</v>
      </c>
      <c r="AW5" s="5">
        <f t="shared" ref="AW5:AW36" si="26">F5*AS5/Vout_ripple*1000</f>
        <v>8.458333333333333E-9</v>
      </c>
      <c r="AX5" s="5">
        <f t="shared" ref="AX5:AX36" si="27">G5*AS5/Vout_ripple2*1000</f>
        <v>8.458333333333333E-9</v>
      </c>
      <c r="AY5" s="5">
        <f t="shared" ref="AY5:AY68" si="28">H5/Efficiency/J5*AT5/Vinripple1</f>
        <v>4.3414473684210526E-8</v>
      </c>
      <c r="AZ5" s="5"/>
      <c r="BA5" s="178">
        <f>AI5*SQRT(AU5/3)</f>
        <v>1.6868264087727975E-2</v>
      </c>
      <c r="BB5" s="178">
        <f t="shared" ref="BB5:BB36" si="29">AI5*Npri_sec1*SQRT((1-AU5)/3)*(Pout/Pout_total)</f>
        <v>0.33315939128291128</v>
      </c>
      <c r="BC5" s="178">
        <f t="shared" ref="BC5:BC36" si="30">AI5*Npri_sec2*SQRT((1-AU5)/3)*(Pout2/Pout_total)</f>
        <v>0.16657969564145564</v>
      </c>
      <c r="BD5" s="178"/>
      <c r="BE5" s="545">
        <f t="shared" ref="BE5:BE68" si="31">Rdson*BA5^2</f>
        <v>9.9588416666666647E-5</v>
      </c>
      <c r="BF5" s="545">
        <f t="shared" ref="BF5:BF68" si="32">0.5*L5*AI5*AM5*1000*Trise</f>
        <v>1.0548749999999998E-3</v>
      </c>
      <c r="BG5" s="545">
        <f t="shared" ref="BG5:BG68" si="33">Qg*Vdd*AM5*1000</f>
        <v>1.25E-4</v>
      </c>
      <c r="BH5" s="545">
        <f t="shared" ref="BH5:BH68" si="34">0.5*(Coss+Csw)*L5^2*AM5*1000</f>
        <v>1.1761250000000001E-3</v>
      </c>
      <c r="BI5">
        <f t="shared" ref="BI5:BI68" si="35">J5*IQ</f>
        <v>6.96E-3</v>
      </c>
      <c r="BJ5">
        <f t="shared" ref="BJ5:BJ36" si="36">(BF5+BG5+BH5+BI5+BE5*(1+RdsonTC*(Ta-25)))/(1-BE5*RdsonTC*ThetaJA)</f>
        <v>9.4159133352261972E-3</v>
      </c>
      <c r="BK5" s="471">
        <f>BJ5*1000</f>
        <v>9.4159133352261968</v>
      </c>
      <c r="BL5" s="178">
        <f t="shared" ref="BL5:BL36" si="37">Vfwd2*F5*(1+Diode_TC/1000*(Ta-25))</f>
        <v>3E-10</v>
      </c>
      <c r="BM5" s="178">
        <f t="shared" ref="BM5:BM36" si="38">Vfwd2*G5*(1+Diode_TC/1000*(Ta-25))</f>
        <v>3E-10</v>
      </c>
      <c r="BN5" s="545"/>
      <c r="BP5" s="471">
        <f>SUM(BL5:BO5)*1000</f>
        <v>5.9999999999999997E-7</v>
      </c>
      <c r="BQ5" s="545">
        <f t="shared" ref="BQ5:BQ68" si="39">Rdcr_pri*BA5^2</f>
        <v>2.7031141666666664E-5</v>
      </c>
      <c r="BR5" s="545">
        <f>Rdcr_sec*BB5^2</f>
        <v>9.9895661999999975E-3</v>
      </c>
      <c r="BS5" s="545">
        <f t="shared" ref="BS5:BS36" si="40">Rdcr_sec2*BC5^2</f>
        <v>2.7748794999999998E-3</v>
      </c>
      <c r="BT5" s="545">
        <f t="shared" ref="BT5:BT68" si="41">AI5^2.5*AM5^2.5*k_core</f>
        <v>7.1608569668720578E-7</v>
      </c>
      <c r="BU5" s="545">
        <f t="shared" ref="BU5:BU36" si="42">(BT5+(BQ5+BR5+BS5)*(1+Ltc*(Ta-25)))/(1-(BQ5+BR5+BS5)*Ltc*ThetaCa)</f>
        <v>1.2805296819981228E-2</v>
      </c>
      <c r="BV5" s="655">
        <f t="shared" ref="BV5:BV36" si="43">0.5*Lleak*0.000000001*AI5^2*AM5*1000</f>
        <v>1.8922500000000001E-4</v>
      </c>
      <c r="BW5" s="471">
        <f>(BU5+BV5)*1000</f>
        <v>12.994521819981227</v>
      </c>
      <c r="BX5" s="178">
        <f>SUM(BJ5,BL5:BO5,BU5:BV5)</f>
        <v>2.2410435755207427E-2</v>
      </c>
      <c r="BY5" s="5">
        <f>MIN(H5+I5,O5+P5)</f>
        <v>2.4000000000000003E-8</v>
      </c>
      <c r="BZ5" s="178">
        <f>BY5/(BY5+BX5)</f>
        <v>1.0709284977709223E-6</v>
      </c>
      <c r="CA5" s="5">
        <f>BZ5*100</f>
        <v>1.0709284977709222E-4</v>
      </c>
      <c r="CB5">
        <v>0</v>
      </c>
      <c r="CD5" s="580">
        <f t="shared" ref="CD5:CD36" si="44">IF(ABS(F5-Ioutmax_Vinnom)&lt;Iout/200, AM5, -50)</f>
        <v>-50</v>
      </c>
      <c r="CE5">
        <f t="shared" ref="CE5:CE36" si="45">IF(ABS(F5-Ioutmax_Vinnom)&lt;Iout/200, (O5+P5)*BZ5, -50)</f>
        <v>-50</v>
      </c>
    </row>
    <row r="6" spans="2:83" x14ac:dyDescent="0.2">
      <c r="E6" s="175">
        <v>1</v>
      </c>
      <c r="F6" s="222">
        <f>IF(PLOT_TYPE=1, E6/100*Iout, min_I*EXP(O6*rr/100))</f>
        <v>4.0000000000000001E-3</v>
      </c>
      <c r="G6" s="222">
        <f t="shared" ref="G6:G37" si="46">IF(PLOT_TYPE=1, E6/100*Iout2, min_I*EXP(Q6*rr/100))</f>
        <v>2E-3</v>
      </c>
      <c r="H6" s="222">
        <f t="shared" si="0"/>
        <v>4.8000000000000001E-2</v>
      </c>
      <c r="I6" s="222">
        <f>G6*Vout2</f>
        <v>2.4E-2</v>
      </c>
      <c r="J6" s="558">
        <f t="shared" si="1"/>
        <v>24</v>
      </c>
      <c r="K6" s="453">
        <f t="shared" si="2"/>
        <v>24.5</v>
      </c>
      <c r="L6" s="453">
        <f t="shared" si="3"/>
        <v>48.5</v>
      </c>
      <c r="M6" s="453"/>
      <c r="N6" s="222">
        <f t="shared" si="4"/>
        <v>0.50515463917525771</v>
      </c>
      <c r="O6" s="177">
        <f t="shared" ref="O6:O37" si="47">N6*J6*Isw_max*0.5*Efficiency*Pout/(Pout+Pout2)</f>
        <v>5.5668041237113393</v>
      </c>
      <c r="P6" s="177">
        <f t="shared" si="5"/>
        <v>4.1751030927835044</v>
      </c>
      <c r="Q6" s="222">
        <f t="shared" si="6"/>
        <v>0.46390034364261162</v>
      </c>
      <c r="R6" s="222">
        <f t="shared" si="7"/>
        <v>0.46390034364261162</v>
      </c>
      <c r="S6" s="453">
        <f t="shared" si="8"/>
        <v>12</v>
      </c>
      <c r="T6" s="222">
        <f t="shared" si="9"/>
        <v>1.2502685284640176E-2</v>
      </c>
      <c r="U6" s="222">
        <f t="shared" si="10"/>
        <v>4.3759398496240609E-2</v>
      </c>
      <c r="V6" s="222">
        <f t="shared" si="11"/>
        <v>4.2866349547337736E-2</v>
      </c>
      <c r="W6" s="202">
        <f t="shared" si="12"/>
        <v>350</v>
      </c>
      <c r="X6" s="453">
        <f t="shared" ref="X6:X69" si="48">MIN(1/(U6+V6)*1000, 350)</f>
        <v>350</v>
      </c>
      <c r="Z6" s="222">
        <f t="shared" si="13"/>
        <v>0.41237113402061859</v>
      </c>
      <c r="AA6" s="178">
        <f t="shared" si="14"/>
        <v>1.4138438880706923</v>
      </c>
      <c r="AB6" s="178">
        <f t="shared" si="15"/>
        <v>0.20405994260814117</v>
      </c>
      <c r="AC6" s="178"/>
      <c r="AD6" s="178">
        <f t="shared" si="16"/>
        <v>0.99428571428571422</v>
      </c>
      <c r="AE6" s="562">
        <f t="shared" si="17"/>
        <v>13.872374157748716</v>
      </c>
      <c r="AF6" s="545">
        <f t="shared" si="18"/>
        <v>0.10091999999999998</v>
      </c>
      <c r="AH6" s="178">
        <f t="shared" si="19"/>
        <v>6.9985421222376526E-2</v>
      </c>
      <c r="AI6" s="178">
        <f t="shared" si="20"/>
        <v>0.28999999999999998</v>
      </c>
      <c r="AJ6" s="178">
        <f t="shared" si="21"/>
        <v>1.007927070947285</v>
      </c>
      <c r="AL6" s="562">
        <f t="shared" si="22"/>
        <v>4</v>
      </c>
      <c r="AM6" s="471">
        <f t="shared" si="23"/>
        <v>13.872374157748716</v>
      </c>
      <c r="AO6">
        <f t="shared" ref="AO6:AO69" si="49">IF(H6&gt;O6, "",AL6)</f>
        <v>4</v>
      </c>
      <c r="AP6" s="471">
        <f t="shared" si="24"/>
        <v>13.872374157748716</v>
      </c>
      <c r="AQ6" s="471"/>
      <c r="AR6" s="5">
        <f t="shared" ref="AR6:AR69" si="50">1/AM6*1000</f>
        <v>72.085714285714261</v>
      </c>
      <c r="AS6" s="5">
        <f t="shared" si="25"/>
        <v>1.0149999999999999</v>
      </c>
      <c r="AT6" s="5">
        <f t="shared" ref="AT6:AT69" si="51">AR6-AS6</f>
        <v>71.07071428571426</v>
      </c>
      <c r="AU6" s="178">
        <f t="shared" ref="AU6:AU69" si="52">AS6/AR6</f>
        <v>1.4080459770114946E-2</v>
      </c>
      <c r="AW6" s="5">
        <f t="shared" si="26"/>
        <v>3.3833333333333326E-2</v>
      </c>
      <c r="AX6" s="5">
        <f t="shared" si="27"/>
        <v>1.6916666666666663E-2</v>
      </c>
      <c r="AY6" s="5">
        <f t="shared" si="28"/>
        <v>0.12468546365914782</v>
      </c>
      <c r="AZ6" s="5"/>
      <c r="BA6" s="178">
        <f t="shared" ref="BA6:BA69" si="53">AI6*SQRT(AU6/3)</f>
        <v>1.9867617426914137E-2</v>
      </c>
      <c r="BB6" s="178">
        <f t="shared" si="29"/>
        <v>0.33249728486777813</v>
      </c>
      <c r="BC6" s="178">
        <f t="shared" si="30"/>
        <v>0.16624864243388907</v>
      </c>
      <c r="BD6" s="178"/>
      <c r="BE6" s="545">
        <f t="shared" si="31"/>
        <v>1.3815277777777779E-4</v>
      </c>
      <c r="BF6" s="545">
        <f t="shared" si="32"/>
        <v>1.4633620689655177E-3</v>
      </c>
      <c r="BG6" s="545">
        <f t="shared" si="33"/>
        <v>1.7340467697185894E-4</v>
      </c>
      <c r="BH6" s="545">
        <f t="shared" si="34"/>
        <v>1.631564605628221E-3</v>
      </c>
      <c r="BI6">
        <f t="shared" si="35"/>
        <v>6.96E-3</v>
      </c>
      <c r="BJ6">
        <f t="shared" si="36"/>
        <v>1.0366980396046997E-2</v>
      </c>
      <c r="BK6" s="471">
        <f t="shared" ref="BK6:BK69" si="54">BJ6*1000</f>
        <v>10.366980396046998</v>
      </c>
      <c r="BL6" s="178">
        <f t="shared" si="37"/>
        <v>1.1999999999999999E-3</v>
      </c>
      <c r="BM6" s="178">
        <f t="shared" si="38"/>
        <v>5.9999999999999995E-4</v>
      </c>
      <c r="BN6" s="545"/>
      <c r="BP6" s="471">
        <f t="shared" ref="BP6:BP69" si="55">SUM(BL6:BO6)*1000</f>
        <v>1.8</v>
      </c>
      <c r="BQ6" s="545">
        <f t="shared" si="39"/>
        <v>3.7498611111111123E-5</v>
      </c>
      <c r="BR6" s="545">
        <f t="shared" ref="BR6:BR68" si="56">Rdcr_sec*BB6^2</f>
        <v>9.9498999999999959E-3</v>
      </c>
      <c r="BS6" s="545">
        <f t="shared" si="40"/>
        <v>2.7638611111111102E-3</v>
      </c>
      <c r="BT6" s="545">
        <f t="shared" si="41"/>
        <v>1.6230876889781498E-6</v>
      </c>
      <c r="BU6" s="545">
        <f t="shared" si="42"/>
        <v>1.276590531985702E-2</v>
      </c>
      <c r="BV6" s="655">
        <f t="shared" si="43"/>
        <v>2.6250000000000009E-4</v>
      </c>
      <c r="BW6" s="471">
        <f t="shared" ref="BW6:BW69" si="57">(BU6+BV6)*1000</f>
        <v>13.02840531985702</v>
      </c>
      <c r="BX6" s="178">
        <f t="shared" ref="BX6:BX69" si="58">SUM(BJ6,BL6:BO6,BU6:BV6)</f>
        <v>2.5195385715904017E-2</v>
      </c>
      <c r="BY6" s="5">
        <f t="shared" ref="BY6:BY69" si="59">MIN(H6+I6,O6+P6)</f>
        <v>7.2000000000000008E-2</v>
      </c>
      <c r="BZ6" s="178">
        <f t="shared" ref="BZ6:BZ69" si="60">BY6/(BY6+BX6)</f>
        <v>0.74077590689800299</v>
      </c>
      <c r="CA6" s="5">
        <f t="shared" ref="CA6:CA69" si="61">BZ6*100</f>
        <v>74.077590689800303</v>
      </c>
      <c r="CB6">
        <f t="shared" ref="CB6:CB37" si="62">F6/Iout*100</f>
        <v>1</v>
      </c>
      <c r="CD6" s="580">
        <f t="shared" si="44"/>
        <v>-50</v>
      </c>
      <c r="CE6">
        <f t="shared" si="45"/>
        <v>-50</v>
      </c>
    </row>
    <row r="7" spans="2:83" x14ac:dyDescent="0.2">
      <c r="E7" s="175">
        <v>2</v>
      </c>
      <c r="F7" s="222">
        <f>IF(PLOT_TYPE=1, E7/100*Iout, min_I*EXP(O7*rr/100))</f>
        <v>8.0000000000000002E-3</v>
      </c>
      <c r="G7" s="222">
        <f t="shared" si="46"/>
        <v>4.0000000000000001E-3</v>
      </c>
      <c r="H7" s="222">
        <f t="shared" si="0"/>
        <v>9.6000000000000002E-2</v>
      </c>
      <c r="I7" s="222">
        <f>G7*Vout2</f>
        <v>4.8000000000000001E-2</v>
      </c>
      <c r="J7" s="558">
        <f t="shared" si="1"/>
        <v>24</v>
      </c>
      <c r="K7" s="453">
        <f t="shared" si="2"/>
        <v>24.5</v>
      </c>
      <c r="L7" s="453">
        <f t="shared" si="3"/>
        <v>48.5</v>
      </c>
      <c r="M7" s="453"/>
      <c r="N7" s="222">
        <f t="shared" si="4"/>
        <v>0.50515463917525771</v>
      </c>
      <c r="O7" s="177">
        <f t="shared" si="47"/>
        <v>5.5668041237113393</v>
      </c>
      <c r="P7" s="177">
        <f t="shared" si="5"/>
        <v>4.1751030927835044</v>
      </c>
      <c r="Q7" s="222">
        <f t="shared" si="6"/>
        <v>0.46390034364261162</v>
      </c>
      <c r="R7" s="222">
        <f t="shared" si="7"/>
        <v>0.46390034364261162</v>
      </c>
      <c r="S7" s="453">
        <f t="shared" si="8"/>
        <v>12</v>
      </c>
      <c r="T7" s="222">
        <f t="shared" si="9"/>
        <v>2.5005370569280351E-2</v>
      </c>
      <c r="U7" s="222">
        <f t="shared" si="10"/>
        <v>8.7518796992481218E-2</v>
      </c>
      <c r="V7" s="222">
        <f t="shared" si="11"/>
        <v>8.5732699094675471E-2</v>
      </c>
      <c r="W7" s="202">
        <f t="shared" si="12"/>
        <v>350</v>
      </c>
      <c r="X7" s="453">
        <f t="shared" si="48"/>
        <v>350</v>
      </c>
      <c r="Z7" s="222">
        <f t="shared" si="13"/>
        <v>0.41237113402061859</v>
      </c>
      <c r="AA7" s="178">
        <f t="shared" si="14"/>
        <v>1.4138438880706923</v>
      </c>
      <c r="AB7" s="178">
        <f t="shared" si="15"/>
        <v>0.20405994260814117</v>
      </c>
      <c r="AC7" s="178"/>
      <c r="AD7" s="178">
        <f t="shared" si="16"/>
        <v>0.99428571428571422</v>
      </c>
      <c r="AE7" s="562">
        <f t="shared" si="17"/>
        <v>27.744748315497432</v>
      </c>
      <c r="AF7" s="545">
        <f t="shared" si="18"/>
        <v>0.10091999999999998</v>
      </c>
      <c r="AH7" s="178">
        <f t="shared" si="19"/>
        <v>9.8974331861078707E-2</v>
      </c>
      <c r="AI7" s="178">
        <f t="shared" si="20"/>
        <v>0.28999999999999998</v>
      </c>
      <c r="AJ7" s="178">
        <f t="shared" si="21"/>
        <v>1.0158541418945699</v>
      </c>
      <c r="AL7" s="562">
        <f t="shared" si="22"/>
        <v>8</v>
      </c>
      <c r="AM7" s="471">
        <f t="shared" si="23"/>
        <v>27.744748315497432</v>
      </c>
      <c r="AO7">
        <f t="shared" si="49"/>
        <v>8</v>
      </c>
      <c r="AP7" s="471">
        <f t="shared" si="24"/>
        <v>27.744748315497432</v>
      </c>
      <c r="AQ7" s="471"/>
      <c r="AR7" s="5">
        <f t="shared" si="50"/>
        <v>36.04285714285713</v>
      </c>
      <c r="AS7" s="5">
        <f t="shared" si="25"/>
        <v>1.0149999999999999</v>
      </c>
      <c r="AT7" s="5">
        <f t="shared" si="51"/>
        <v>35.02785714285713</v>
      </c>
      <c r="AU7" s="178">
        <f t="shared" si="52"/>
        <v>2.8160919540229892E-2</v>
      </c>
      <c r="AW7" s="5">
        <f t="shared" si="26"/>
        <v>6.7666666666666653E-2</v>
      </c>
      <c r="AX7" s="5">
        <f t="shared" si="27"/>
        <v>3.3833333333333326E-2</v>
      </c>
      <c r="AY7" s="5">
        <f t="shared" si="28"/>
        <v>0.12290476190476185</v>
      </c>
      <c r="AZ7" s="5"/>
      <c r="BA7" s="178">
        <f t="shared" si="53"/>
        <v>2.8097054017182023E-2</v>
      </c>
      <c r="BB7" s="178">
        <f t="shared" si="29"/>
        <v>0.33011445826494107</v>
      </c>
      <c r="BC7" s="178">
        <f t="shared" si="30"/>
        <v>0.16505722913247053</v>
      </c>
      <c r="BD7" s="178"/>
      <c r="BE7" s="545">
        <f t="shared" si="31"/>
        <v>2.7630555555555557E-4</v>
      </c>
      <c r="BF7" s="545">
        <f t="shared" si="32"/>
        <v>2.9267241379310354E-3</v>
      </c>
      <c r="BG7" s="545">
        <f t="shared" si="33"/>
        <v>3.4680935394371787E-4</v>
      </c>
      <c r="BH7" s="545">
        <f t="shared" si="34"/>
        <v>3.2631292112564421E-3</v>
      </c>
      <c r="BI7">
        <f t="shared" si="35"/>
        <v>6.96E-3</v>
      </c>
      <c r="BJ7">
        <f t="shared" si="36"/>
        <v>1.3774287007203035E-2</v>
      </c>
      <c r="BK7" s="471">
        <f t="shared" si="54"/>
        <v>13.774287007203034</v>
      </c>
      <c r="BL7" s="178">
        <f t="shared" si="37"/>
        <v>2.3999999999999998E-3</v>
      </c>
      <c r="BM7" s="178">
        <f t="shared" si="38"/>
        <v>1.1999999999999999E-3</v>
      </c>
      <c r="BN7" s="545"/>
      <c r="BP7" s="471">
        <f t="shared" si="55"/>
        <v>3.6</v>
      </c>
      <c r="BQ7" s="545">
        <f t="shared" si="39"/>
        <v>7.4997222222222232E-5</v>
      </c>
      <c r="BR7" s="545">
        <f t="shared" si="56"/>
        <v>9.8077999999999967E-3</v>
      </c>
      <c r="BS7" s="545">
        <f t="shared" si="40"/>
        <v>2.7243888888888882E-3</v>
      </c>
      <c r="BT7" s="545">
        <f t="shared" si="41"/>
        <v>9.1815704906948158E-6</v>
      </c>
      <c r="BU7" s="545">
        <f t="shared" si="42"/>
        <v>1.2629105079854481E-2</v>
      </c>
      <c r="BV7" s="655">
        <f t="shared" si="43"/>
        <v>5.2500000000000018E-4</v>
      </c>
      <c r="BW7" s="471">
        <f t="shared" si="57"/>
        <v>13.15410507985448</v>
      </c>
      <c r="BX7" s="178">
        <f t="shared" si="58"/>
        <v>3.0528392087057519E-2</v>
      </c>
      <c r="BY7" s="5">
        <f t="shared" si="59"/>
        <v>0.14400000000000002</v>
      </c>
      <c r="BZ7" s="178">
        <f t="shared" si="60"/>
        <v>0.82508065466030611</v>
      </c>
      <c r="CA7" s="5">
        <f t="shared" si="61"/>
        <v>82.508065466030615</v>
      </c>
      <c r="CB7">
        <f t="shared" si="62"/>
        <v>2</v>
      </c>
      <c r="CD7" s="580">
        <f t="shared" si="44"/>
        <v>-50</v>
      </c>
      <c r="CE7">
        <f t="shared" si="45"/>
        <v>-50</v>
      </c>
    </row>
    <row r="8" spans="2:83" x14ac:dyDescent="0.2">
      <c r="E8" s="175">
        <v>3</v>
      </c>
      <c r="F8" s="222">
        <f t="shared" ref="F8:F39" si="63">IF(PLOT_TYPE=1, E8/100*Iout_max, min_I*EXP(O8*rr/100))</f>
        <v>1.2E-2</v>
      </c>
      <c r="G8" s="222">
        <f t="shared" si="46"/>
        <v>6.0000000000000001E-3</v>
      </c>
      <c r="H8" s="222">
        <f t="shared" si="0"/>
        <v>0.14400000000000002</v>
      </c>
      <c r="I8" s="222">
        <f t="shared" ref="I8:I39" si="64">Vout2*G8</f>
        <v>7.2000000000000008E-2</v>
      </c>
      <c r="J8" s="558">
        <f t="shared" si="1"/>
        <v>24</v>
      </c>
      <c r="K8" s="453">
        <f t="shared" si="2"/>
        <v>24.5</v>
      </c>
      <c r="L8" s="453">
        <f t="shared" si="3"/>
        <v>48.5</v>
      </c>
      <c r="M8" s="453"/>
      <c r="N8" s="222">
        <f t="shared" si="4"/>
        <v>0.50515463917525771</v>
      </c>
      <c r="O8" s="177">
        <f t="shared" si="47"/>
        <v>5.5668041237113393</v>
      </c>
      <c r="P8" s="177">
        <f t="shared" si="5"/>
        <v>4.1751030927835044</v>
      </c>
      <c r="Q8" s="222">
        <f t="shared" si="6"/>
        <v>0.46390034364261162</v>
      </c>
      <c r="R8" s="222">
        <f t="shared" si="7"/>
        <v>0.46390034364261162</v>
      </c>
      <c r="S8" s="453">
        <f t="shared" si="8"/>
        <v>12</v>
      </c>
      <c r="T8" s="222">
        <f t="shared" si="9"/>
        <v>3.7508055853920523E-2</v>
      </c>
      <c r="U8" s="222">
        <f t="shared" si="10"/>
        <v>0.13127819548872183</v>
      </c>
      <c r="V8" s="222">
        <f t="shared" si="11"/>
        <v>0.12859904864201321</v>
      </c>
      <c r="W8" s="202">
        <f t="shared" si="12"/>
        <v>350</v>
      </c>
      <c r="X8" s="453">
        <f t="shared" si="48"/>
        <v>350</v>
      </c>
      <c r="Z8" s="222">
        <f t="shared" si="13"/>
        <v>0.41237113402061859</v>
      </c>
      <c r="AA8" s="178">
        <f t="shared" si="14"/>
        <v>1.4138438880706923</v>
      </c>
      <c r="AB8" s="178">
        <f t="shared" si="15"/>
        <v>0.20405994260814117</v>
      </c>
      <c r="AC8" s="178"/>
      <c r="AD8" s="178">
        <f t="shared" si="16"/>
        <v>0.99428571428571422</v>
      </c>
      <c r="AE8" s="562">
        <f t="shared" si="17"/>
        <v>41.617122473246148</v>
      </c>
      <c r="AF8" s="545">
        <f t="shared" si="18"/>
        <v>0.10091999999999998</v>
      </c>
      <c r="AH8" s="178">
        <f t="shared" si="19"/>
        <v>0.12121830534626531</v>
      </c>
      <c r="AI8" s="178">
        <f t="shared" si="20"/>
        <v>0.28999999999999998</v>
      </c>
      <c r="AJ8" s="178">
        <f t="shared" si="21"/>
        <v>1.0237812128418549</v>
      </c>
      <c r="AL8" s="562">
        <f t="shared" si="22"/>
        <v>12</v>
      </c>
      <c r="AM8" s="471">
        <f t="shared" si="23"/>
        <v>41.617122473246148</v>
      </c>
      <c r="AO8">
        <f t="shared" si="49"/>
        <v>12</v>
      </c>
      <c r="AP8" s="471">
        <f t="shared" si="24"/>
        <v>41.617122473246148</v>
      </c>
      <c r="AQ8" s="471"/>
      <c r="AR8" s="5">
        <f t="shared" si="50"/>
        <v>24.028571428571421</v>
      </c>
      <c r="AS8" s="5">
        <f t="shared" si="25"/>
        <v>1.0149999999999999</v>
      </c>
      <c r="AT8" s="5">
        <f t="shared" si="51"/>
        <v>23.013571428571421</v>
      </c>
      <c r="AU8" s="178">
        <f t="shared" si="52"/>
        <v>4.2241379310344836E-2</v>
      </c>
      <c r="AW8" s="5">
        <f t="shared" si="26"/>
        <v>0.10150000000000001</v>
      </c>
      <c r="AX8" s="5">
        <f t="shared" si="27"/>
        <v>5.0750000000000003E-2</v>
      </c>
      <c r="AY8" s="5">
        <f t="shared" si="28"/>
        <v>0.12112406015037591</v>
      </c>
      <c r="AZ8" s="5"/>
      <c r="BA8" s="178">
        <f t="shared" si="53"/>
        <v>3.441172280875613E-2</v>
      </c>
      <c r="BB8" s="178">
        <f t="shared" si="29"/>
        <v>0.32771430647237026</v>
      </c>
      <c r="BC8" s="178">
        <f t="shared" si="30"/>
        <v>0.16385715323618513</v>
      </c>
      <c r="BD8" s="178"/>
      <c r="BE8" s="545">
        <f t="shared" si="31"/>
        <v>4.1445833333333341E-4</v>
      </c>
      <c r="BF8" s="545">
        <f t="shared" si="32"/>
        <v>4.3900862068965525E-3</v>
      </c>
      <c r="BG8" s="545">
        <f t="shared" si="33"/>
        <v>5.2021403091557681E-4</v>
      </c>
      <c r="BH8" s="545">
        <f t="shared" si="34"/>
        <v>4.8946938168846627E-3</v>
      </c>
      <c r="BI8">
        <f t="shared" si="35"/>
        <v>6.96E-3</v>
      </c>
      <c r="BJ8">
        <f t="shared" si="36"/>
        <v>1.7181919880322531E-2</v>
      </c>
      <c r="BK8" s="471">
        <f t="shared" si="54"/>
        <v>17.181919880322532</v>
      </c>
      <c r="BL8" s="178">
        <f t="shared" si="37"/>
        <v>3.5999999999999999E-3</v>
      </c>
      <c r="BM8" s="178">
        <f t="shared" si="38"/>
        <v>1.8E-3</v>
      </c>
      <c r="BN8" s="545"/>
      <c r="BP8" s="471">
        <f t="shared" si="55"/>
        <v>5.4</v>
      </c>
      <c r="BQ8" s="545">
        <f t="shared" si="39"/>
        <v>1.1249583333333335E-4</v>
      </c>
      <c r="BR8" s="545">
        <f t="shared" si="56"/>
        <v>9.6656999999999958E-3</v>
      </c>
      <c r="BS8" s="545">
        <f t="shared" si="40"/>
        <v>2.6849166666666657E-3</v>
      </c>
      <c r="BT8" s="545">
        <f t="shared" si="41"/>
        <v>2.5301433082047374E-5</v>
      </c>
      <c r="BU8" s="545">
        <f t="shared" si="42"/>
        <v>1.250087792091221E-2</v>
      </c>
      <c r="BV8" s="655">
        <f t="shared" si="43"/>
        <v>7.8750000000000022E-4</v>
      </c>
      <c r="BW8" s="471">
        <f t="shared" si="57"/>
        <v>13.288377920912209</v>
      </c>
      <c r="BX8" s="178">
        <f t="shared" si="58"/>
        <v>3.5870297801234741E-2</v>
      </c>
      <c r="BY8" s="5">
        <f t="shared" si="59"/>
        <v>0.21600000000000003</v>
      </c>
      <c r="BZ8" s="178">
        <f t="shared" si="60"/>
        <v>0.85758424826439028</v>
      </c>
      <c r="CA8" s="5">
        <f t="shared" si="61"/>
        <v>85.758424826439025</v>
      </c>
      <c r="CB8">
        <f t="shared" si="62"/>
        <v>3</v>
      </c>
      <c r="CD8" s="580">
        <f t="shared" si="44"/>
        <v>-50</v>
      </c>
      <c r="CE8">
        <f t="shared" si="45"/>
        <v>-50</v>
      </c>
    </row>
    <row r="9" spans="2:83" x14ac:dyDescent="0.2">
      <c r="E9" s="175">
        <v>4</v>
      </c>
      <c r="F9" s="222">
        <f t="shared" si="63"/>
        <v>1.6E-2</v>
      </c>
      <c r="G9" s="222">
        <f t="shared" si="46"/>
        <v>8.0000000000000002E-3</v>
      </c>
      <c r="H9" s="222">
        <f t="shared" si="0"/>
        <v>0.192</v>
      </c>
      <c r="I9" s="222">
        <f t="shared" si="64"/>
        <v>9.6000000000000002E-2</v>
      </c>
      <c r="J9" s="558">
        <f t="shared" si="1"/>
        <v>24</v>
      </c>
      <c r="K9" s="453">
        <f t="shared" si="2"/>
        <v>24.5</v>
      </c>
      <c r="L9" s="453">
        <f t="shared" si="3"/>
        <v>48.5</v>
      </c>
      <c r="M9" s="453"/>
      <c r="N9" s="222">
        <f t="shared" si="4"/>
        <v>0.50515463917525771</v>
      </c>
      <c r="O9" s="177">
        <f t="shared" si="47"/>
        <v>5.5668041237113393</v>
      </c>
      <c r="P9" s="177">
        <f t="shared" si="5"/>
        <v>4.1751030927835044</v>
      </c>
      <c r="Q9" s="222">
        <f t="shared" si="6"/>
        <v>0.46390034364261162</v>
      </c>
      <c r="R9" s="222">
        <f t="shared" si="7"/>
        <v>0.46390034364261162</v>
      </c>
      <c r="S9" s="453">
        <f t="shared" si="8"/>
        <v>12</v>
      </c>
      <c r="T9" s="222">
        <f t="shared" si="9"/>
        <v>5.0010741138560702E-2</v>
      </c>
      <c r="U9" s="222">
        <f t="shared" si="10"/>
        <v>0.17503759398496244</v>
      </c>
      <c r="V9" s="222">
        <f t="shared" si="11"/>
        <v>0.17146539818935094</v>
      </c>
      <c r="W9" s="202">
        <f t="shared" si="12"/>
        <v>350</v>
      </c>
      <c r="X9" s="453">
        <f t="shared" si="48"/>
        <v>350</v>
      </c>
      <c r="Z9" s="222">
        <f t="shared" si="13"/>
        <v>0.41237113402061859</v>
      </c>
      <c r="AA9" s="178">
        <f t="shared" si="14"/>
        <v>1.4138438880706923</v>
      </c>
      <c r="AB9" s="178">
        <f t="shared" si="15"/>
        <v>0.20405994260814117</v>
      </c>
      <c r="AC9" s="178"/>
      <c r="AD9" s="178">
        <f t="shared" si="16"/>
        <v>0.99428571428571422</v>
      </c>
      <c r="AE9" s="562">
        <f t="shared" si="17"/>
        <v>55.489496630994864</v>
      </c>
      <c r="AF9" s="545">
        <f t="shared" si="18"/>
        <v>0.10091999999999998</v>
      </c>
      <c r="AH9" s="178">
        <f t="shared" si="19"/>
        <v>0.13997084244475305</v>
      </c>
      <c r="AI9" s="178">
        <f t="shared" si="20"/>
        <v>0.28999999999999998</v>
      </c>
      <c r="AJ9" s="178">
        <f t="shared" si="21"/>
        <v>1.0317082837891398</v>
      </c>
      <c r="AL9" s="562">
        <f t="shared" si="22"/>
        <v>16</v>
      </c>
      <c r="AM9" s="471">
        <f t="shared" si="23"/>
        <v>55.489496630994864</v>
      </c>
      <c r="AO9">
        <f t="shared" si="49"/>
        <v>16</v>
      </c>
      <c r="AP9" s="471">
        <f t="shared" si="24"/>
        <v>55.489496630994864</v>
      </c>
      <c r="AQ9" s="471"/>
      <c r="AR9" s="5">
        <f t="shared" si="50"/>
        <v>18.021428571428565</v>
      </c>
      <c r="AS9" s="5">
        <f t="shared" si="25"/>
        <v>1.0149999999999999</v>
      </c>
      <c r="AT9" s="5">
        <f t="shared" si="51"/>
        <v>17.006428571428565</v>
      </c>
      <c r="AU9" s="178">
        <f t="shared" si="52"/>
        <v>5.6321839080459783E-2</v>
      </c>
      <c r="AW9" s="5">
        <f t="shared" si="26"/>
        <v>0.13533333333333331</v>
      </c>
      <c r="AX9" s="5">
        <f t="shared" si="27"/>
        <v>6.7666666666666653E-2</v>
      </c>
      <c r="AY9" s="5">
        <f t="shared" si="28"/>
        <v>0.11934335839598992</v>
      </c>
      <c r="AZ9" s="5"/>
      <c r="BA9" s="178">
        <f t="shared" si="53"/>
        <v>3.9735234853828273E-2</v>
      </c>
      <c r="BB9" s="178">
        <f t="shared" si="29"/>
        <v>0.32529644599622937</v>
      </c>
      <c r="BC9" s="178">
        <f t="shared" si="30"/>
        <v>0.16264822299811468</v>
      </c>
      <c r="BD9" s="178"/>
      <c r="BE9" s="545">
        <f t="shared" si="31"/>
        <v>5.5261111111111114E-4</v>
      </c>
      <c r="BF9" s="545">
        <f t="shared" si="32"/>
        <v>5.8534482758620708E-3</v>
      </c>
      <c r="BG9" s="545">
        <f t="shared" si="33"/>
        <v>6.9361870788743575E-4</v>
      </c>
      <c r="BH9" s="545">
        <f t="shared" si="34"/>
        <v>6.5262584225128841E-3</v>
      </c>
      <c r="BI9">
        <f t="shared" si="35"/>
        <v>6.96E-3</v>
      </c>
      <c r="BJ9">
        <f t="shared" si="36"/>
        <v>2.0589879062268876E-2</v>
      </c>
      <c r="BK9" s="471">
        <f t="shared" si="54"/>
        <v>20.589879062268874</v>
      </c>
      <c r="BL9" s="178">
        <f t="shared" si="37"/>
        <v>4.7999999999999996E-3</v>
      </c>
      <c r="BM9" s="178">
        <f t="shared" si="38"/>
        <v>2.3999999999999998E-3</v>
      </c>
      <c r="BN9" s="545"/>
      <c r="BP9" s="471">
        <f t="shared" si="55"/>
        <v>7.2</v>
      </c>
      <c r="BQ9" s="545">
        <f t="shared" si="39"/>
        <v>1.4999444444444449E-4</v>
      </c>
      <c r="BR9" s="545">
        <f t="shared" si="56"/>
        <v>9.5236000000000001E-3</v>
      </c>
      <c r="BS9" s="545">
        <f t="shared" si="40"/>
        <v>2.6454444444444446E-3</v>
      </c>
      <c r="BT9" s="545">
        <f t="shared" si="41"/>
        <v>5.1938806047300876E-5</v>
      </c>
      <c r="BU9" s="545">
        <f t="shared" si="42"/>
        <v>1.238318160659858E-2</v>
      </c>
      <c r="BV9" s="655">
        <f t="shared" si="43"/>
        <v>1.0500000000000004E-3</v>
      </c>
      <c r="BW9" s="471">
        <f t="shared" si="57"/>
        <v>13.433181606598581</v>
      </c>
      <c r="BX9" s="178">
        <f t="shared" si="58"/>
        <v>4.122306066886746E-2</v>
      </c>
      <c r="BY9" s="5">
        <f t="shared" si="59"/>
        <v>0.28800000000000003</v>
      </c>
      <c r="BZ9" s="178">
        <f t="shared" si="60"/>
        <v>0.87478683727343876</v>
      </c>
      <c r="CA9" s="5">
        <f t="shared" si="61"/>
        <v>87.478683727343878</v>
      </c>
      <c r="CB9">
        <f t="shared" si="62"/>
        <v>4</v>
      </c>
      <c r="CD9" s="580">
        <f t="shared" si="44"/>
        <v>-50</v>
      </c>
      <c r="CE9">
        <f t="shared" si="45"/>
        <v>-50</v>
      </c>
    </row>
    <row r="10" spans="2:83" x14ac:dyDescent="0.2">
      <c r="E10" s="175">
        <v>5</v>
      </c>
      <c r="F10" s="222">
        <f t="shared" si="63"/>
        <v>2.0000000000000004E-2</v>
      </c>
      <c r="G10" s="222">
        <f t="shared" si="46"/>
        <v>1.0000000000000002E-2</v>
      </c>
      <c r="H10" s="222">
        <f t="shared" si="0"/>
        <v>0.24000000000000005</v>
      </c>
      <c r="I10" s="222">
        <f t="shared" si="64"/>
        <v>0.12000000000000002</v>
      </c>
      <c r="J10" s="558">
        <f t="shared" si="1"/>
        <v>24</v>
      </c>
      <c r="K10" s="453">
        <f t="shared" si="2"/>
        <v>24.5</v>
      </c>
      <c r="L10" s="453">
        <f t="shared" si="3"/>
        <v>48.5</v>
      </c>
      <c r="M10" s="453"/>
      <c r="N10" s="222">
        <f t="shared" si="4"/>
        <v>0.50515463917525771</v>
      </c>
      <c r="O10" s="177">
        <f t="shared" si="47"/>
        <v>5.5668041237113393</v>
      </c>
      <c r="P10" s="177">
        <f t="shared" si="5"/>
        <v>4.1751030927835044</v>
      </c>
      <c r="Q10" s="222">
        <f t="shared" si="6"/>
        <v>0.46390034364261162</v>
      </c>
      <c r="R10" s="222">
        <f t="shared" si="7"/>
        <v>0.46390034364261162</v>
      </c>
      <c r="S10" s="453">
        <f t="shared" si="8"/>
        <v>12</v>
      </c>
      <c r="T10" s="222">
        <f t="shared" si="9"/>
        <v>6.2513426423200888E-2</v>
      </c>
      <c r="U10" s="222">
        <f t="shared" si="10"/>
        <v>0.21879699248120313</v>
      </c>
      <c r="V10" s="222">
        <f t="shared" si="11"/>
        <v>0.21433174773668878</v>
      </c>
      <c r="W10" s="202">
        <f t="shared" si="12"/>
        <v>350</v>
      </c>
      <c r="X10" s="453">
        <f t="shared" si="48"/>
        <v>350</v>
      </c>
      <c r="Z10" s="222">
        <f t="shared" si="13"/>
        <v>0.41237113402061859</v>
      </c>
      <c r="AA10" s="178">
        <f t="shared" si="14"/>
        <v>1.4138438880706923</v>
      </c>
      <c r="AB10" s="178">
        <f t="shared" si="15"/>
        <v>0.20405994260814117</v>
      </c>
      <c r="AC10" s="178"/>
      <c r="AD10" s="178">
        <f t="shared" si="16"/>
        <v>0.99428571428571422</v>
      </c>
      <c r="AE10" s="562">
        <f t="shared" si="17"/>
        <v>69.361870788743587</v>
      </c>
      <c r="AF10" s="545">
        <f t="shared" si="18"/>
        <v>0.10091999999999998</v>
      </c>
      <c r="AH10" s="178">
        <f t="shared" si="19"/>
        <v>0.15649215928719035</v>
      </c>
      <c r="AI10" s="178">
        <f t="shared" si="20"/>
        <v>0.28999999999999998</v>
      </c>
      <c r="AJ10" s="178">
        <f t="shared" si="21"/>
        <v>1.039635354736425</v>
      </c>
      <c r="AL10" s="562">
        <f t="shared" si="22"/>
        <v>20.000000000000004</v>
      </c>
      <c r="AM10" s="471">
        <f t="shared" si="23"/>
        <v>69.361870788743587</v>
      </c>
      <c r="AO10">
        <f t="shared" si="49"/>
        <v>20.000000000000004</v>
      </c>
      <c r="AP10" s="471">
        <f t="shared" si="24"/>
        <v>69.361870788743587</v>
      </c>
      <c r="AQ10" s="471"/>
      <c r="AR10" s="5">
        <f t="shared" si="50"/>
        <v>14.417142857142851</v>
      </c>
      <c r="AS10" s="5">
        <f t="shared" si="25"/>
        <v>1.0149999999999999</v>
      </c>
      <c r="AT10" s="5">
        <f t="shared" si="51"/>
        <v>13.40214285714285</v>
      </c>
      <c r="AU10" s="178">
        <f t="shared" si="52"/>
        <v>7.0402298850574738E-2</v>
      </c>
      <c r="AW10" s="5">
        <f t="shared" si="26"/>
        <v>0.16916666666666669</v>
      </c>
      <c r="AX10" s="5">
        <f t="shared" si="27"/>
        <v>8.4583333333333344E-2</v>
      </c>
      <c r="AY10" s="5">
        <f t="shared" si="28"/>
        <v>0.11756265664160398</v>
      </c>
      <c r="AZ10" s="5"/>
      <c r="BA10" s="178">
        <f t="shared" si="53"/>
        <v>4.442534311753947E-2</v>
      </c>
      <c r="BB10" s="178">
        <f t="shared" si="29"/>
        <v>0.32286047898262316</v>
      </c>
      <c r="BC10" s="178">
        <f t="shared" si="30"/>
        <v>0.16143023949131158</v>
      </c>
      <c r="BD10" s="178"/>
      <c r="BE10" s="545">
        <f t="shared" si="31"/>
        <v>6.9076388888888909E-4</v>
      </c>
      <c r="BF10" s="545">
        <f t="shared" si="32"/>
        <v>7.3168103448275883E-3</v>
      </c>
      <c r="BG10" s="545">
        <f t="shared" si="33"/>
        <v>8.6702338485929479E-4</v>
      </c>
      <c r="BH10" s="545">
        <f t="shared" si="34"/>
        <v>8.1578230281411056E-3</v>
      </c>
      <c r="BI10">
        <f t="shared" si="35"/>
        <v>6.96E-3</v>
      </c>
      <c r="BJ10">
        <f t="shared" si="36"/>
        <v>2.3998164599914443E-2</v>
      </c>
      <c r="BK10" s="471">
        <f t="shared" si="54"/>
        <v>23.998164599914443</v>
      </c>
      <c r="BL10" s="178">
        <f t="shared" si="37"/>
        <v>6.000000000000001E-3</v>
      </c>
      <c r="BM10" s="178">
        <f t="shared" si="38"/>
        <v>3.0000000000000005E-3</v>
      </c>
      <c r="BN10" s="545"/>
      <c r="BP10" s="471">
        <f t="shared" si="55"/>
        <v>9.0000000000000018</v>
      </c>
      <c r="BQ10" s="545">
        <f t="shared" si="39"/>
        <v>1.8749305555555563E-4</v>
      </c>
      <c r="BR10" s="545">
        <f t="shared" si="56"/>
        <v>9.3814999999999957E-3</v>
      </c>
      <c r="BS10" s="545">
        <f t="shared" si="40"/>
        <v>2.6059722222222213E-3</v>
      </c>
      <c r="BT10" s="545">
        <f t="shared" si="41"/>
        <v>9.0733360149954551E-5</v>
      </c>
      <c r="BU10" s="545">
        <f t="shared" si="42"/>
        <v>1.227765704178182E-2</v>
      </c>
      <c r="BV10" s="655">
        <f t="shared" si="43"/>
        <v>1.3125000000000005E-3</v>
      </c>
      <c r="BW10" s="471">
        <f t="shared" si="57"/>
        <v>13.590157041781822</v>
      </c>
      <c r="BX10" s="178">
        <f t="shared" si="58"/>
        <v>4.6588321641696268E-2</v>
      </c>
      <c r="BY10" s="5">
        <f t="shared" si="59"/>
        <v>0.3600000000000001</v>
      </c>
      <c r="BZ10" s="178">
        <f t="shared" si="60"/>
        <v>0.88541647862982176</v>
      </c>
      <c r="CA10" s="5">
        <f t="shared" si="61"/>
        <v>88.541647862982174</v>
      </c>
      <c r="CB10">
        <f t="shared" si="62"/>
        <v>5.0000000000000009</v>
      </c>
      <c r="CD10" s="580">
        <f t="shared" si="44"/>
        <v>-50</v>
      </c>
      <c r="CE10">
        <f t="shared" si="45"/>
        <v>-50</v>
      </c>
    </row>
    <row r="11" spans="2:83" x14ac:dyDescent="0.2">
      <c r="E11" s="175">
        <v>6</v>
      </c>
      <c r="F11" s="222">
        <f t="shared" si="63"/>
        <v>2.4E-2</v>
      </c>
      <c r="G11" s="222">
        <f t="shared" si="46"/>
        <v>1.2E-2</v>
      </c>
      <c r="H11" s="222">
        <f t="shared" si="0"/>
        <v>0.28800000000000003</v>
      </c>
      <c r="I11" s="222">
        <f t="shared" si="64"/>
        <v>0.14400000000000002</v>
      </c>
      <c r="J11" s="558">
        <f t="shared" si="1"/>
        <v>24</v>
      </c>
      <c r="K11" s="453">
        <f t="shared" si="2"/>
        <v>24.5</v>
      </c>
      <c r="L11" s="453">
        <f t="shared" si="3"/>
        <v>48.5</v>
      </c>
      <c r="M11" s="453"/>
      <c r="N11" s="222">
        <f t="shared" si="4"/>
        <v>0.50515463917525771</v>
      </c>
      <c r="O11" s="177">
        <f t="shared" si="47"/>
        <v>5.5668041237113393</v>
      </c>
      <c r="P11" s="177">
        <f t="shared" si="5"/>
        <v>4.1751030927835044</v>
      </c>
      <c r="Q11" s="222">
        <f t="shared" si="6"/>
        <v>0.46390034364261162</v>
      </c>
      <c r="R11" s="222">
        <f t="shared" si="7"/>
        <v>0.46390034364261162</v>
      </c>
      <c r="S11" s="453">
        <f t="shared" si="8"/>
        <v>12</v>
      </c>
      <c r="T11" s="222">
        <f t="shared" si="9"/>
        <v>7.5016111707841046E-2</v>
      </c>
      <c r="U11" s="222">
        <f t="shared" si="10"/>
        <v>0.26255639097744365</v>
      </c>
      <c r="V11" s="222">
        <f t="shared" si="11"/>
        <v>0.25719809728402643</v>
      </c>
      <c r="W11" s="202">
        <f t="shared" si="12"/>
        <v>350</v>
      </c>
      <c r="X11" s="453">
        <f t="shared" si="48"/>
        <v>350</v>
      </c>
      <c r="Z11" s="222">
        <f t="shared" si="13"/>
        <v>0.41237113402061859</v>
      </c>
      <c r="AA11" s="178">
        <f t="shared" si="14"/>
        <v>1.4138438880706923</v>
      </c>
      <c r="AB11" s="178">
        <f t="shared" si="15"/>
        <v>0.20405994260814117</v>
      </c>
      <c r="AC11" s="178"/>
      <c r="AD11" s="178">
        <f t="shared" si="16"/>
        <v>0.99428571428571422</v>
      </c>
      <c r="AE11" s="562">
        <f t="shared" si="17"/>
        <v>83.234244946492296</v>
      </c>
      <c r="AF11" s="545">
        <f t="shared" si="18"/>
        <v>0.10091999999999998</v>
      </c>
      <c r="AH11" s="178">
        <f t="shared" si="19"/>
        <v>0.17142857142857146</v>
      </c>
      <c r="AI11" s="178">
        <f t="shared" si="20"/>
        <v>0.28999999999999998</v>
      </c>
      <c r="AJ11" s="178">
        <f t="shared" si="21"/>
        <v>1.0475624256837099</v>
      </c>
      <c r="AL11" s="562">
        <f t="shared" si="22"/>
        <v>24</v>
      </c>
      <c r="AM11" s="471">
        <f t="shared" si="23"/>
        <v>83.234244946492296</v>
      </c>
      <c r="AO11">
        <f t="shared" si="49"/>
        <v>24</v>
      </c>
      <c r="AP11" s="471">
        <f t="shared" si="24"/>
        <v>83.234244946492296</v>
      </c>
      <c r="AQ11" s="471"/>
      <c r="AR11" s="5">
        <f t="shared" si="50"/>
        <v>12.014285714285711</v>
      </c>
      <c r="AS11" s="5">
        <f t="shared" si="25"/>
        <v>1.0149999999999999</v>
      </c>
      <c r="AT11" s="5">
        <f t="shared" si="51"/>
        <v>10.99928571428571</v>
      </c>
      <c r="AU11" s="178">
        <f t="shared" si="52"/>
        <v>8.4482758620689671E-2</v>
      </c>
      <c r="AW11" s="5">
        <f t="shared" si="26"/>
        <v>0.20300000000000001</v>
      </c>
      <c r="AX11" s="5">
        <f t="shared" si="27"/>
        <v>0.10150000000000001</v>
      </c>
      <c r="AY11" s="5">
        <f t="shared" si="28"/>
        <v>0.11578195488721801</v>
      </c>
      <c r="AZ11" s="5"/>
      <c r="BA11" s="178">
        <f t="shared" si="53"/>
        <v>4.8665525100766487E-2</v>
      </c>
      <c r="BB11" s="178">
        <f t="shared" si="29"/>
        <v>0.32040599245332474</v>
      </c>
      <c r="BC11" s="178">
        <f t="shared" si="30"/>
        <v>0.16020299622666237</v>
      </c>
      <c r="BD11" s="178"/>
      <c r="BE11" s="545">
        <f t="shared" si="31"/>
        <v>8.289166666666665E-4</v>
      </c>
      <c r="BF11" s="545">
        <f t="shared" si="32"/>
        <v>8.780172413793105E-3</v>
      </c>
      <c r="BG11" s="545">
        <f t="shared" si="33"/>
        <v>1.0404280618311536E-3</v>
      </c>
      <c r="BH11" s="545">
        <f t="shared" si="34"/>
        <v>9.7893876337693253E-3</v>
      </c>
      <c r="BI11">
        <f t="shared" si="35"/>
        <v>6.96E-3</v>
      </c>
      <c r="BJ11">
        <f t="shared" si="36"/>
        <v>2.7406776540140572E-2</v>
      </c>
      <c r="BK11" s="471">
        <f t="shared" si="54"/>
        <v>27.406776540140573</v>
      </c>
      <c r="BL11" s="178">
        <f t="shared" si="37"/>
        <v>7.1999999999999998E-3</v>
      </c>
      <c r="BM11" s="178">
        <f t="shared" si="38"/>
        <v>3.5999999999999999E-3</v>
      </c>
      <c r="BN11" s="545"/>
      <c r="BP11" s="471">
        <f t="shared" si="55"/>
        <v>10.8</v>
      </c>
      <c r="BQ11" s="545">
        <f t="shared" si="39"/>
        <v>2.2499166666666663E-4</v>
      </c>
      <c r="BR11" s="545">
        <f t="shared" si="56"/>
        <v>9.2393999999999983E-3</v>
      </c>
      <c r="BS11" s="545">
        <f t="shared" si="40"/>
        <v>2.5664999999999998E-3</v>
      </c>
      <c r="BT11" s="545">
        <f t="shared" si="41"/>
        <v>1.4312651924842644E-4</v>
      </c>
      <c r="BU11" s="545">
        <f t="shared" si="42"/>
        <v>1.2185746617709901E-2</v>
      </c>
      <c r="BV11" s="655">
        <f t="shared" si="43"/>
        <v>1.5750000000000004E-3</v>
      </c>
      <c r="BW11" s="471">
        <f t="shared" si="57"/>
        <v>13.760746617709902</v>
      </c>
      <c r="BX11" s="178">
        <f t="shared" si="58"/>
        <v>5.196752315785047E-2</v>
      </c>
      <c r="BY11" s="5">
        <f t="shared" si="59"/>
        <v>0.43200000000000005</v>
      </c>
      <c r="BZ11" s="178">
        <f t="shared" si="60"/>
        <v>0.89262187921460845</v>
      </c>
      <c r="CA11" s="5">
        <f t="shared" si="61"/>
        <v>89.26218792146085</v>
      </c>
      <c r="CB11">
        <f t="shared" si="62"/>
        <v>6</v>
      </c>
      <c r="CD11" s="580">
        <f t="shared" si="44"/>
        <v>-50</v>
      </c>
      <c r="CE11">
        <f t="shared" si="45"/>
        <v>-50</v>
      </c>
    </row>
    <row r="12" spans="2:83" x14ac:dyDescent="0.2">
      <c r="E12" s="175">
        <v>7</v>
      </c>
      <c r="F12" s="222">
        <f t="shared" si="63"/>
        <v>2.8000000000000004E-2</v>
      </c>
      <c r="G12" s="222">
        <f t="shared" si="46"/>
        <v>1.4000000000000002E-2</v>
      </c>
      <c r="H12" s="222">
        <f t="shared" si="0"/>
        <v>0.33600000000000008</v>
      </c>
      <c r="I12" s="222">
        <f t="shared" si="64"/>
        <v>0.16800000000000004</v>
      </c>
      <c r="J12" s="558">
        <f t="shared" si="1"/>
        <v>24</v>
      </c>
      <c r="K12" s="453">
        <f t="shared" si="2"/>
        <v>24.5</v>
      </c>
      <c r="L12" s="453">
        <f t="shared" si="3"/>
        <v>48.5</v>
      </c>
      <c r="M12" s="453"/>
      <c r="N12" s="222">
        <f t="shared" si="4"/>
        <v>0.50515463917525771</v>
      </c>
      <c r="O12" s="177">
        <f t="shared" si="47"/>
        <v>5.5668041237113393</v>
      </c>
      <c r="P12" s="177">
        <f t="shared" si="5"/>
        <v>4.1751030927835044</v>
      </c>
      <c r="Q12" s="222">
        <f t="shared" si="6"/>
        <v>0.46390034364261162</v>
      </c>
      <c r="R12" s="222">
        <f t="shared" si="7"/>
        <v>0.46390034364261162</v>
      </c>
      <c r="S12" s="453">
        <f t="shared" si="8"/>
        <v>12</v>
      </c>
      <c r="T12" s="222">
        <f t="shared" si="9"/>
        <v>8.7518796992481232E-2</v>
      </c>
      <c r="U12" s="222">
        <f t="shared" si="10"/>
        <v>0.30631578947368432</v>
      </c>
      <c r="V12" s="222">
        <f t="shared" si="11"/>
        <v>0.30006444683136418</v>
      </c>
      <c r="W12" s="202">
        <f t="shared" si="12"/>
        <v>350</v>
      </c>
      <c r="X12" s="453">
        <f t="shared" si="48"/>
        <v>350</v>
      </c>
      <c r="Z12" s="222">
        <f t="shared" si="13"/>
        <v>0.41237113402061859</v>
      </c>
      <c r="AA12" s="178">
        <f t="shared" si="14"/>
        <v>1.4138438880706923</v>
      </c>
      <c r="AB12" s="178">
        <f t="shared" si="15"/>
        <v>0.20405994260814117</v>
      </c>
      <c r="AC12" s="178"/>
      <c r="AD12" s="178">
        <f t="shared" si="16"/>
        <v>0.99428571428571422</v>
      </c>
      <c r="AE12" s="562">
        <f t="shared" si="17"/>
        <v>97.10661910424102</v>
      </c>
      <c r="AF12" s="545">
        <f t="shared" si="18"/>
        <v>0.10091999999999998</v>
      </c>
      <c r="AH12" s="178">
        <f t="shared" si="19"/>
        <v>0.18516401995451032</v>
      </c>
      <c r="AI12" s="178">
        <f t="shared" si="20"/>
        <v>0.28999999999999998</v>
      </c>
      <c r="AJ12" s="178">
        <f t="shared" si="21"/>
        <v>1.0554894966309949</v>
      </c>
      <c r="AL12" s="562">
        <f t="shared" si="22"/>
        <v>28.000000000000004</v>
      </c>
      <c r="AM12" s="471">
        <f t="shared" si="23"/>
        <v>97.10661910424102</v>
      </c>
      <c r="AO12">
        <f t="shared" si="49"/>
        <v>28.000000000000004</v>
      </c>
      <c r="AP12" s="471">
        <f t="shared" si="24"/>
        <v>97.10661910424102</v>
      </c>
      <c r="AQ12" s="471"/>
      <c r="AR12" s="5">
        <f t="shared" si="50"/>
        <v>10.297959183673466</v>
      </c>
      <c r="AS12" s="5">
        <f t="shared" si="25"/>
        <v>1.0149999999999999</v>
      </c>
      <c r="AT12" s="5">
        <f t="shared" si="51"/>
        <v>9.2829591836734657</v>
      </c>
      <c r="AU12" s="178">
        <f t="shared" si="52"/>
        <v>9.8563218390804619E-2</v>
      </c>
      <c r="AW12" s="5">
        <f t="shared" si="26"/>
        <v>0.23683333333333334</v>
      </c>
      <c r="AX12" s="5">
        <f t="shared" si="27"/>
        <v>0.11841666666666667</v>
      </c>
      <c r="AY12" s="5">
        <f t="shared" si="28"/>
        <v>0.11400125313283205</v>
      </c>
      <c r="AZ12" s="5"/>
      <c r="BA12" s="178">
        <f t="shared" si="53"/>
        <v>5.2564774854987784E-2</v>
      </c>
      <c r="BB12" s="178">
        <f t="shared" si="29"/>
        <v>0.31793255748839422</v>
      </c>
      <c r="BC12" s="178">
        <f t="shared" si="30"/>
        <v>0.15896627874419711</v>
      </c>
      <c r="BD12" s="178"/>
      <c r="BE12" s="545">
        <f t="shared" si="31"/>
        <v>9.6706944444444455E-4</v>
      </c>
      <c r="BF12" s="545">
        <f t="shared" si="32"/>
        <v>1.0243534482758623E-2</v>
      </c>
      <c r="BG12" s="545">
        <f t="shared" si="33"/>
        <v>1.2138327388030127E-3</v>
      </c>
      <c r="BH12" s="545">
        <f t="shared" si="34"/>
        <v>1.1420952239397547E-2</v>
      </c>
      <c r="BI12">
        <f t="shared" si="35"/>
        <v>6.96E-3</v>
      </c>
      <c r="BJ12">
        <f t="shared" si="36"/>
        <v>3.081571492983759E-2</v>
      </c>
      <c r="BK12" s="471">
        <f t="shared" si="54"/>
        <v>30.81571492983759</v>
      </c>
      <c r="BL12" s="178">
        <f t="shared" si="37"/>
        <v>8.4000000000000012E-3</v>
      </c>
      <c r="BM12" s="178">
        <f t="shared" si="38"/>
        <v>4.2000000000000006E-3</v>
      </c>
      <c r="BN12" s="545"/>
      <c r="BP12" s="471">
        <f t="shared" si="55"/>
        <v>12.600000000000001</v>
      </c>
      <c r="BQ12" s="545">
        <f t="shared" si="39"/>
        <v>2.6249027777777782E-4</v>
      </c>
      <c r="BR12" s="545">
        <f t="shared" si="56"/>
        <v>9.0972999999999974E-3</v>
      </c>
      <c r="BS12" s="545">
        <f t="shared" si="40"/>
        <v>2.5270277777777773E-3</v>
      </c>
      <c r="BT12" s="545">
        <f t="shared" si="41"/>
        <v>2.1042003267325015E-4</v>
      </c>
      <c r="BU12" s="545">
        <f t="shared" si="42"/>
        <v>1.2108752851590927E-2</v>
      </c>
      <c r="BV12" s="655">
        <f t="shared" si="43"/>
        <v>1.8375000000000006E-3</v>
      </c>
      <c r="BW12" s="471">
        <f t="shared" si="57"/>
        <v>13.946252851590927</v>
      </c>
      <c r="BX12" s="178">
        <f t="shared" si="58"/>
        <v>5.7361967781428526E-2</v>
      </c>
      <c r="BY12" s="5">
        <f t="shared" si="59"/>
        <v>0.50400000000000011</v>
      </c>
      <c r="BZ12" s="178">
        <f t="shared" si="60"/>
        <v>0.89781643382766008</v>
      </c>
      <c r="CA12" s="5">
        <f t="shared" si="61"/>
        <v>89.781643382766006</v>
      </c>
      <c r="CB12">
        <f t="shared" si="62"/>
        <v>7.0000000000000009</v>
      </c>
      <c r="CD12" s="580">
        <f t="shared" si="44"/>
        <v>-50</v>
      </c>
      <c r="CE12">
        <f t="shared" si="45"/>
        <v>-50</v>
      </c>
    </row>
    <row r="13" spans="2:83" s="77" customFormat="1" x14ac:dyDescent="0.2">
      <c r="E13" s="194">
        <v>8</v>
      </c>
      <c r="F13" s="222">
        <f t="shared" si="63"/>
        <v>3.2000000000000001E-2</v>
      </c>
      <c r="G13" s="222">
        <f t="shared" si="46"/>
        <v>1.6E-2</v>
      </c>
      <c r="H13" s="222">
        <f t="shared" si="0"/>
        <v>0.38400000000000001</v>
      </c>
      <c r="I13" s="222">
        <f t="shared" si="64"/>
        <v>0.192</v>
      </c>
      <c r="J13" s="558">
        <f t="shared" si="1"/>
        <v>24</v>
      </c>
      <c r="K13" s="453">
        <f t="shared" si="2"/>
        <v>24.5</v>
      </c>
      <c r="L13" s="552">
        <f t="shared" si="3"/>
        <v>48.5</v>
      </c>
      <c r="M13" s="552"/>
      <c r="N13" s="334">
        <f t="shared" si="4"/>
        <v>0.50515463917525771</v>
      </c>
      <c r="O13" s="177">
        <f t="shared" si="47"/>
        <v>5.5668041237113393</v>
      </c>
      <c r="P13" s="177">
        <f t="shared" si="5"/>
        <v>4.1751030927835044</v>
      </c>
      <c r="Q13" s="334">
        <f t="shared" si="6"/>
        <v>0.46390034364261162</v>
      </c>
      <c r="R13" s="222">
        <f t="shared" si="7"/>
        <v>0.46390034364261162</v>
      </c>
      <c r="S13" s="453">
        <f t="shared" si="8"/>
        <v>12</v>
      </c>
      <c r="T13" s="222">
        <f t="shared" si="9"/>
        <v>0.1000214822771214</v>
      </c>
      <c r="U13" s="334">
        <f t="shared" si="10"/>
        <v>0.35007518796992487</v>
      </c>
      <c r="V13" s="222">
        <f t="shared" si="11"/>
        <v>0.34293079637870189</v>
      </c>
      <c r="W13" s="554">
        <f t="shared" si="12"/>
        <v>350</v>
      </c>
      <c r="X13" s="552">
        <f t="shared" si="48"/>
        <v>350</v>
      </c>
      <c r="Z13" s="334">
        <f t="shared" si="13"/>
        <v>0.41237113402061859</v>
      </c>
      <c r="AA13" s="178">
        <f t="shared" si="14"/>
        <v>1.4138438880706923</v>
      </c>
      <c r="AB13" s="178">
        <f t="shared" si="15"/>
        <v>0.20405994260814117</v>
      </c>
      <c r="AC13" s="555"/>
      <c r="AD13" s="178">
        <f t="shared" si="16"/>
        <v>0.99428571428571422</v>
      </c>
      <c r="AE13" s="562">
        <f t="shared" si="17"/>
        <v>110.97899326198973</v>
      </c>
      <c r="AF13" s="545">
        <f t="shared" si="18"/>
        <v>0.10091999999999998</v>
      </c>
      <c r="AG13"/>
      <c r="AH13" s="178">
        <f t="shared" si="19"/>
        <v>0.19794866372215741</v>
      </c>
      <c r="AI13" s="178">
        <f t="shared" si="20"/>
        <v>0.28999999999999998</v>
      </c>
      <c r="AJ13" s="178">
        <f t="shared" si="21"/>
        <v>1.0634165675782798</v>
      </c>
      <c r="AL13" s="562">
        <f t="shared" si="22"/>
        <v>32</v>
      </c>
      <c r="AM13" s="471">
        <f t="shared" si="23"/>
        <v>110.97899326198973</v>
      </c>
      <c r="AO13">
        <f t="shared" si="49"/>
        <v>32</v>
      </c>
      <c r="AP13" s="471">
        <f t="shared" si="24"/>
        <v>110.97899326198973</v>
      </c>
      <c r="AQ13" s="471"/>
      <c r="AR13" s="5">
        <f t="shared" si="50"/>
        <v>9.0107142857142826</v>
      </c>
      <c r="AS13" s="5">
        <f t="shared" si="25"/>
        <v>1.0149999999999999</v>
      </c>
      <c r="AT13" s="5">
        <f t="shared" si="51"/>
        <v>7.9957142857142829</v>
      </c>
      <c r="AU13" s="178">
        <f t="shared" si="52"/>
        <v>0.11264367816091957</v>
      </c>
      <c r="AW13" s="5">
        <f t="shared" si="26"/>
        <v>0.27066666666666661</v>
      </c>
      <c r="AX13" s="5">
        <f t="shared" si="27"/>
        <v>0.13533333333333331</v>
      </c>
      <c r="AY13" s="5">
        <f t="shared" si="28"/>
        <v>0.11222055137844608</v>
      </c>
      <c r="AZ13" s="5"/>
      <c r="BA13" s="178">
        <f t="shared" si="53"/>
        <v>5.6194108034364046E-2</v>
      </c>
      <c r="BB13" s="178">
        <f t="shared" si="29"/>
        <v>0.31543972835111023</v>
      </c>
      <c r="BC13" s="178">
        <f t="shared" si="30"/>
        <v>0.15771986417555511</v>
      </c>
      <c r="BD13" s="178"/>
      <c r="BE13" s="545">
        <f t="shared" si="31"/>
        <v>1.1052222222222223E-3</v>
      </c>
      <c r="BF13" s="545">
        <f t="shared" si="32"/>
        <v>1.1706896551724142E-2</v>
      </c>
      <c r="BG13" s="545">
        <f t="shared" si="33"/>
        <v>1.3872374157748715E-3</v>
      </c>
      <c r="BH13" s="545">
        <f t="shared" si="34"/>
        <v>1.3052516845025768E-2</v>
      </c>
      <c r="BI13">
        <f t="shared" si="35"/>
        <v>6.96E-3</v>
      </c>
      <c r="BJ13">
        <f t="shared" si="36"/>
        <v>3.4224979815904812E-2</v>
      </c>
      <c r="BK13" s="471">
        <f t="shared" si="54"/>
        <v>34.22497981590481</v>
      </c>
      <c r="BL13" s="178">
        <f t="shared" si="37"/>
        <v>9.5999999999999992E-3</v>
      </c>
      <c r="BM13" s="178">
        <f t="shared" si="38"/>
        <v>4.7999999999999996E-3</v>
      </c>
      <c r="BN13" s="545"/>
      <c r="BP13" s="471">
        <f t="shared" si="55"/>
        <v>14.4</v>
      </c>
      <c r="BQ13" s="545">
        <f t="shared" si="39"/>
        <v>2.9998888888888893E-4</v>
      </c>
      <c r="BR13" s="545">
        <f t="shared" si="56"/>
        <v>8.9551999999999982E-3</v>
      </c>
      <c r="BS13" s="545">
        <f t="shared" si="40"/>
        <v>2.4875555555555554E-3</v>
      </c>
      <c r="BT13" s="545">
        <f t="shared" si="41"/>
        <v>2.9381025570223421E-4</v>
      </c>
      <c r="BU13" s="545">
        <f t="shared" si="42"/>
        <v>1.2047872707370825E-2</v>
      </c>
      <c r="BV13" s="655">
        <f t="shared" si="43"/>
        <v>2.1000000000000007E-3</v>
      </c>
      <c r="BW13" s="471">
        <f t="shared" si="57"/>
        <v>14.147872707370826</v>
      </c>
      <c r="BX13" s="178">
        <f t="shared" si="58"/>
        <v>6.2772852523275635E-2</v>
      </c>
      <c r="BY13" s="5">
        <f t="shared" si="59"/>
        <v>0.57600000000000007</v>
      </c>
      <c r="BZ13" s="178">
        <f t="shared" si="60"/>
        <v>0.90172899133814044</v>
      </c>
      <c r="CA13" s="5">
        <f t="shared" si="61"/>
        <v>90.172899133814042</v>
      </c>
      <c r="CB13">
        <f t="shared" si="62"/>
        <v>8</v>
      </c>
      <c r="CD13" s="580">
        <f t="shared" si="44"/>
        <v>-50</v>
      </c>
      <c r="CE13">
        <f t="shared" si="45"/>
        <v>-50</v>
      </c>
    </row>
    <row r="14" spans="2:83" x14ac:dyDescent="0.2">
      <c r="E14" s="175">
        <v>9</v>
      </c>
      <c r="F14" s="222">
        <f t="shared" si="63"/>
        <v>3.5999999999999997E-2</v>
      </c>
      <c r="G14" s="222">
        <f t="shared" si="46"/>
        <v>1.7999999999999999E-2</v>
      </c>
      <c r="H14" s="222">
        <f t="shared" si="0"/>
        <v>0.43199999999999994</v>
      </c>
      <c r="I14" s="222">
        <f t="shared" si="64"/>
        <v>0.21599999999999997</v>
      </c>
      <c r="J14" s="558">
        <f t="shared" si="1"/>
        <v>24</v>
      </c>
      <c r="K14" s="453">
        <f t="shared" si="2"/>
        <v>24.5</v>
      </c>
      <c r="L14" s="453">
        <f t="shared" si="3"/>
        <v>48.5</v>
      </c>
      <c r="M14" s="453"/>
      <c r="N14" s="222">
        <f t="shared" si="4"/>
        <v>0.50515463917525771</v>
      </c>
      <c r="O14" s="177">
        <f t="shared" si="47"/>
        <v>5.5668041237113393</v>
      </c>
      <c r="P14" s="177">
        <f t="shared" si="5"/>
        <v>4.1751030927835044</v>
      </c>
      <c r="Q14" s="222">
        <f t="shared" si="6"/>
        <v>0.46390034364261162</v>
      </c>
      <c r="R14" s="222">
        <f t="shared" si="7"/>
        <v>0.46390034364261162</v>
      </c>
      <c r="S14" s="453">
        <f t="shared" si="8"/>
        <v>12</v>
      </c>
      <c r="T14" s="222">
        <f t="shared" si="9"/>
        <v>0.11252416756176155</v>
      </c>
      <c r="U14" s="222">
        <f t="shared" si="10"/>
        <v>0.39383458646616543</v>
      </c>
      <c r="V14" s="222">
        <f t="shared" si="11"/>
        <v>0.38579714592603959</v>
      </c>
      <c r="W14" s="202">
        <f t="shared" si="12"/>
        <v>350</v>
      </c>
      <c r="X14" s="453">
        <f t="shared" si="48"/>
        <v>350</v>
      </c>
      <c r="Z14" s="222">
        <f t="shared" si="13"/>
        <v>0.41237113402061859</v>
      </c>
      <c r="AA14" s="178">
        <f t="shared" si="14"/>
        <v>1.4138438880706923</v>
      </c>
      <c r="AB14" s="178">
        <f t="shared" si="15"/>
        <v>0.20405994260814117</v>
      </c>
      <c r="AC14" s="178"/>
      <c r="AD14" s="178">
        <f t="shared" si="16"/>
        <v>0.99428571428571422</v>
      </c>
      <c r="AE14" s="562">
        <f t="shared" si="17"/>
        <v>124.85136741973842</v>
      </c>
      <c r="AF14" s="545">
        <f t="shared" si="18"/>
        <v>0.10091999999999998</v>
      </c>
      <c r="AH14" s="178">
        <f t="shared" si="19"/>
        <v>0.20995626366712955</v>
      </c>
      <c r="AI14" s="178">
        <f t="shared" si="20"/>
        <v>0.28999999999999998</v>
      </c>
      <c r="AJ14" s="178">
        <f t="shared" si="21"/>
        <v>1.0713436385255648</v>
      </c>
      <c r="AL14" s="562">
        <f t="shared" si="22"/>
        <v>36</v>
      </c>
      <c r="AM14" s="471">
        <f t="shared" si="23"/>
        <v>124.85136741973842</v>
      </c>
      <c r="AO14">
        <f t="shared" si="49"/>
        <v>36</v>
      </c>
      <c r="AP14" s="471">
        <f t="shared" si="24"/>
        <v>124.85136741973842</v>
      </c>
      <c r="AQ14" s="471"/>
      <c r="AR14" s="5">
        <f t="shared" si="50"/>
        <v>8.0095238095238077</v>
      </c>
      <c r="AS14" s="5">
        <f t="shared" si="25"/>
        <v>1.0149999999999999</v>
      </c>
      <c r="AT14" s="5">
        <f t="shared" si="51"/>
        <v>6.994523809523808</v>
      </c>
      <c r="AU14" s="178">
        <f t="shared" si="52"/>
        <v>0.12672413793103449</v>
      </c>
      <c r="AW14" s="5">
        <f t="shared" si="26"/>
        <v>0.30449999999999999</v>
      </c>
      <c r="AX14" s="5">
        <f t="shared" si="27"/>
        <v>0.15225</v>
      </c>
      <c r="AY14" s="5">
        <f t="shared" si="28"/>
        <v>0.11043984962406009</v>
      </c>
      <c r="AZ14" s="5"/>
      <c r="BA14" s="178">
        <f t="shared" si="53"/>
        <v>5.9602852280742406E-2</v>
      </c>
      <c r="BB14" s="178">
        <f t="shared" si="29"/>
        <v>0.31292704155015644</v>
      </c>
      <c r="BC14" s="178">
        <f t="shared" si="30"/>
        <v>0.15646352077507822</v>
      </c>
      <c r="BD14" s="178"/>
      <c r="BE14" s="545">
        <f t="shared" si="31"/>
        <v>1.2433749999999999E-3</v>
      </c>
      <c r="BF14" s="545">
        <f t="shared" si="32"/>
        <v>1.3170258620689657E-2</v>
      </c>
      <c r="BG14" s="545">
        <f t="shared" si="33"/>
        <v>1.5606420927467301E-3</v>
      </c>
      <c r="BH14" s="545">
        <f t="shared" si="34"/>
        <v>1.4684081450653986E-2</v>
      </c>
      <c r="BI14">
        <f t="shared" si="35"/>
        <v>6.96E-3</v>
      </c>
      <c r="BJ14">
        <f t="shared" si="36"/>
        <v>3.7634571245250513E-2</v>
      </c>
      <c r="BK14" s="471">
        <f t="shared" si="54"/>
        <v>37.634571245250513</v>
      </c>
      <c r="BL14" s="178">
        <f t="shared" si="37"/>
        <v>1.0799999999999999E-2</v>
      </c>
      <c r="BM14" s="178">
        <f t="shared" si="38"/>
        <v>5.3999999999999994E-3</v>
      </c>
      <c r="BN14" s="545"/>
      <c r="BP14" s="471">
        <f t="shared" si="55"/>
        <v>16.2</v>
      </c>
      <c r="BQ14" s="545">
        <f t="shared" si="39"/>
        <v>3.3748750000000004E-4</v>
      </c>
      <c r="BR14" s="545">
        <f t="shared" si="56"/>
        <v>8.8130999999999991E-3</v>
      </c>
      <c r="BS14" s="545">
        <f t="shared" si="40"/>
        <v>2.4480833333333334E-3</v>
      </c>
      <c r="BT14" s="545">
        <f t="shared" si="41"/>
        <v>3.9441030842169035E-4</v>
      </c>
      <c r="BU14" s="545">
        <f t="shared" si="42"/>
        <v>1.2004219781263334E-2</v>
      </c>
      <c r="BV14" s="655">
        <f t="shared" si="43"/>
        <v>2.3625000000000005E-3</v>
      </c>
      <c r="BW14" s="471">
        <f t="shared" si="57"/>
        <v>14.366719781263333</v>
      </c>
      <c r="BX14" s="178">
        <f t="shared" si="58"/>
        <v>6.8201291026513844E-2</v>
      </c>
      <c r="BY14" s="5">
        <f t="shared" si="59"/>
        <v>0.64799999999999991</v>
      </c>
      <c r="BZ14" s="178">
        <f t="shared" si="60"/>
        <v>0.90477357150702342</v>
      </c>
      <c r="CA14" s="5">
        <f t="shared" si="61"/>
        <v>90.477357150702346</v>
      </c>
      <c r="CB14">
        <f t="shared" si="62"/>
        <v>8.9999999999999982</v>
      </c>
      <c r="CD14" s="580">
        <f t="shared" si="44"/>
        <v>-50</v>
      </c>
      <c r="CE14">
        <f t="shared" si="45"/>
        <v>-50</v>
      </c>
    </row>
    <row r="15" spans="2:83" x14ac:dyDescent="0.2">
      <c r="E15" s="175">
        <v>10</v>
      </c>
      <c r="F15" s="222">
        <f t="shared" si="63"/>
        <v>4.0000000000000008E-2</v>
      </c>
      <c r="G15" s="222">
        <f t="shared" si="46"/>
        <v>2.0000000000000004E-2</v>
      </c>
      <c r="H15" s="222">
        <f t="shared" si="0"/>
        <v>0.48000000000000009</v>
      </c>
      <c r="I15" s="222">
        <f t="shared" si="64"/>
        <v>0.24000000000000005</v>
      </c>
      <c r="J15" s="558">
        <f t="shared" si="1"/>
        <v>24</v>
      </c>
      <c r="K15" s="453">
        <f t="shared" si="2"/>
        <v>24.5</v>
      </c>
      <c r="L15" s="453">
        <f t="shared" si="3"/>
        <v>48.5</v>
      </c>
      <c r="M15" s="453"/>
      <c r="N15" s="222">
        <f t="shared" si="4"/>
        <v>0.50515463917525771</v>
      </c>
      <c r="O15" s="177">
        <f t="shared" si="47"/>
        <v>5.5668041237113393</v>
      </c>
      <c r="P15" s="177">
        <f t="shared" si="5"/>
        <v>4.1751030927835044</v>
      </c>
      <c r="Q15" s="222">
        <f t="shared" si="6"/>
        <v>0.46390034364261162</v>
      </c>
      <c r="R15" s="222">
        <f t="shared" si="7"/>
        <v>0.46390034364261162</v>
      </c>
      <c r="S15" s="453">
        <f t="shared" si="8"/>
        <v>12</v>
      </c>
      <c r="T15" s="222">
        <f t="shared" si="9"/>
        <v>0.12502685284640178</v>
      </c>
      <c r="U15" s="222">
        <f t="shared" si="10"/>
        <v>0.43759398496240626</v>
      </c>
      <c r="V15" s="222">
        <f t="shared" si="11"/>
        <v>0.42866349547337756</v>
      </c>
      <c r="W15" s="202">
        <f t="shared" si="12"/>
        <v>350</v>
      </c>
      <c r="X15" s="453">
        <f t="shared" si="48"/>
        <v>350</v>
      </c>
      <c r="Z15" s="222">
        <f t="shared" si="13"/>
        <v>0.41237113402061859</v>
      </c>
      <c r="AA15" s="178">
        <f t="shared" si="14"/>
        <v>1.4138438880706923</v>
      </c>
      <c r="AB15" s="178">
        <f t="shared" si="15"/>
        <v>0.20405994260814117</v>
      </c>
      <c r="AC15" s="178"/>
      <c r="AD15" s="178">
        <f t="shared" si="16"/>
        <v>0.99428571428571422</v>
      </c>
      <c r="AE15" s="562">
        <f t="shared" si="17"/>
        <v>138.72374157748717</v>
      </c>
      <c r="AF15" s="545">
        <f t="shared" si="18"/>
        <v>0.10091999999999998</v>
      </c>
      <c r="AH15" s="178">
        <f t="shared" si="19"/>
        <v>0.22131333406899528</v>
      </c>
      <c r="AI15" s="178">
        <f t="shared" si="20"/>
        <v>0.28999999999999998</v>
      </c>
      <c r="AJ15" s="178">
        <f t="shared" si="21"/>
        <v>1.0792707094728498</v>
      </c>
      <c r="AL15" s="562">
        <f t="shared" si="22"/>
        <v>40.000000000000007</v>
      </c>
      <c r="AM15" s="471">
        <f t="shared" si="23"/>
        <v>138.72374157748717</v>
      </c>
      <c r="AO15">
        <f t="shared" si="49"/>
        <v>40.000000000000007</v>
      </c>
      <c r="AP15" s="471">
        <f t="shared" si="24"/>
        <v>138.72374157748717</v>
      </c>
      <c r="AQ15" s="471"/>
      <c r="AR15" s="5">
        <f t="shared" si="50"/>
        <v>7.2085714285714255</v>
      </c>
      <c r="AS15" s="5">
        <f t="shared" si="25"/>
        <v>1.0149999999999999</v>
      </c>
      <c r="AT15" s="5">
        <f t="shared" si="51"/>
        <v>6.1935714285714258</v>
      </c>
      <c r="AU15" s="178">
        <f t="shared" si="52"/>
        <v>0.14080459770114948</v>
      </c>
      <c r="AW15" s="5">
        <f t="shared" si="26"/>
        <v>0.33833333333333337</v>
      </c>
      <c r="AX15" s="5">
        <f t="shared" si="27"/>
        <v>0.16916666666666669</v>
      </c>
      <c r="AY15" s="5">
        <f t="shared" si="28"/>
        <v>0.10865914786967415</v>
      </c>
      <c r="AZ15" s="5"/>
      <c r="BA15" s="178">
        <f t="shared" si="53"/>
        <v>6.282692274990255E-2</v>
      </c>
      <c r="BB15" s="178">
        <f t="shared" si="29"/>
        <v>0.31039401483347645</v>
      </c>
      <c r="BC15" s="178">
        <f t="shared" si="30"/>
        <v>0.15519700741673823</v>
      </c>
      <c r="BD15" s="178"/>
      <c r="BE15" s="545">
        <f t="shared" si="31"/>
        <v>1.3815277777777777E-3</v>
      </c>
      <c r="BF15" s="545">
        <f t="shared" si="32"/>
        <v>1.4633620689655177E-2</v>
      </c>
      <c r="BG15" s="545">
        <f t="shared" si="33"/>
        <v>1.7340467697185896E-3</v>
      </c>
      <c r="BH15" s="545">
        <f t="shared" si="34"/>
        <v>1.6315646056282211E-2</v>
      </c>
      <c r="BI15">
        <f t="shared" si="35"/>
        <v>6.96E-3</v>
      </c>
      <c r="BJ15">
        <f t="shared" si="36"/>
        <v>4.1044489264792011E-2</v>
      </c>
      <c r="BK15" s="471">
        <f t="shared" si="54"/>
        <v>41.044489264792013</v>
      </c>
      <c r="BL15" s="178">
        <f t="shared" si="37"/>
        <v>1.2000000000000002E-2</v>
      </c>
      <c r="BM15" s="178">
        <f t="shared" si="38"/>
        <v>6.000000000000001E-3</v>
      </c>
      <c r="BN15" s="545"/>
      <c r="BP15" s="471">
        <f t="shared" si="55"/>
        <v>18.000000000000004</v>
      </c>
      <c r="BQ15" s="545">
        <f t="shared" si="39"/>
        <v>3.7498611111111115E-4</v>
      </c>
      <c r="BR15" s="545">
        <f t="shared" si="56"/>
        <v>8.6709999999999964E-3</v>
      </c>
      <c r="BS15" s="545">
        <f t="shared" si="40"/>
        <v>2.4086111111111101E-3</v>
      </c>
      <c r="BT15" s="545">
        <f t="shared" si="41"/>
        <v>5.1326539393499264E-4</v>
      </c>
      <c r="BU15" s="545">
        <f t="shared" si="42"/>
        <v>1.1978839638817389E-2</v>
      </c>
      <c r="BV15" s="655">
        <f t="shared" si="43"/>
        <v>2.625000000000001E-3</v>
      </c>
      <c r="BW15" s="471">
        <f t="shared" si="57"/>
        <v>14.603839638817391</v>
      </c>
      <c r="BX15" s="178">
        <f t="shared" si="58"/>
        <v>7.3648328903609409E-2</v>
      </c>
      <c r="BY15" s="5">
        <f t="shared" si="59"/>
        <v>0.7200000000000002</v>
      </c>
      <c r="BZ15" s="178">
        <f t="shared" si="60"/>
        <v>0.90720281739224307</v>
      </c>
      <c r="CA15" s="5">
        <f t="shared" si="61"/>
        <v>90.720281739224305</v>
      </c>
      <c r="CB15">
        <f t="shared" si="62"/>
        <v>10.000000000000002</v>
      </c>
      <c r="CD15" s="580">
        <f t="shared" si="44"/>
        <v>-50</v>
      </c>
      <c r="CE15">
        <f t="shared" si="45"/>
        <v>-50</v>
      </c>
    </row>
    <row r="16" spans="2:83" x14ac:dyDescent="0.2">
      <c r="E16" s="175">
        <v>11</v>
      </c>
      <c r="F16" s="222">
        <f t="shared" si="63"/>
        <v>4.4000000000000004E-2</v>
      </c>
      <c r="G16" s="222">
        <f t="shared" si="46"/>
        <v>2.2000000000000002E-2</v>
      </c>
      <c r="H16" s="222">
        <f t="shared" si="0"/>
        <v>0.52800000000000002</v>
      </c>
      <c r="I16" s="222">
        <f t="shared" si="64"/>
        <v>0.26400000000000001</v>
      </c>
      <c r="J16" s="558">
        <f t="shared" si="1"/>
        <v>24</v>
      </c>
      <c r="K16" s="453">
        <f t="shared" si="2"/>
        <v>24.5</v>
      </c>
      <c r="L16" s="453">
        <f t="shared" si="3"/>
        <v>48.5</v>
      </c>
      <c r="M16" s="453"/>
      <c r="N16" s="222">
        <f t="shared" si="4"/>
        <v>0.50515463917525771</v>
      </c>
      <c r="O16" s="177">
        <f t="shared" si="47"/>
        <v>5.5668041237113393</v>
      </c>
      <c r="P16" s="177">
        <f t="shared" si="5"/>
        <v>4.1751030927835044</v>
      </c>
      <c r="Q16" s="222">
        <f t="shared" si="6"/>
        <v>0.46390034364261162</v>
      </c>
      <c r="R16" s="222">
        <f t="shared" si="7"/>
        <v>0.46390034364261162</v>
      </c>
      <c r="S16" s="453">
        <f t="shared" si="8"/>
        <v>12</v>
      </c>
      <c r="T16" s="222">
        <f t="shared" si="9"/>
        <v>0.13752953813104191</v>
      </c>
      <c r="U16" s="222">
        <f t="shared" si="10"/>
        <v>0.48135338345864659</v>
      </c>
      <c r="V16" s="222">
        <f t="shared" si="11"/>
        <v>0.47152984502071504</v>
      </c>
      <c r="W16" s="202">
        <f t="shared" si="12"/>
        <v>350</v>
      </c>
      <c r="X16" s="453">
        <f t="shared" si="48"/>
        <v>350</v>
      </c>
      <c r="Z16" s="222">
        <f t="shared" si="13"/>
        <v>0.41237113402061859</v>
      </c>
      <c r="AA16" s="178">
        <f t="shared" si="14"/>
        <v>1.4138438880706923</v>
      </c>
      <c r="AB16" s="178">
        <f t="shared" si="15"/>
        <v>0.20405994260814117</v>
      </c>
      <c r="AC16" s="178"/>
      <c r="AD16" s="178">
        <f t="shared" si="16"/>
        <v>0.99428571428571422</v>
      </c>
      <c r="AE16" s="562">
        <f t="shared" si="17"/>
        <v>152.59611573523588</v>
      </c>
      <c r="AF16" s="545">
        <f t="shared" si="18"/>
        <v>0.10091999999999998</v>
      </c>
      <c r="AH16" s="178">
        <f t="shared" si="19"/>
        <v>0.23211538298959888</v>
      </c>
      <c r="AI16" s="178">
        <f t="shared" si="20"/>
        <v>0.28999999999999998</v>
      </c>
      <c r="AJ16" s="178">
        <f t="shared" si="21"/>
        <v>1.0871977804201347</v>
      </c>
      <c r="AL16" s="562">
        <f t="shared" si="22"/>
        <v>44.000000000000007</v>
      </c>
      <c r="AM16" s="471">
        <f t="shared" si="23"/>
        <v>152.59611573523588</v>
      </c>
      <c r="AO16">
        <f t="shared" si="49"/>
        <v>44.000000000000007</v>
      </c>
      <c r="AP16" s="471">
        <f t="shared" si="24"/>
        <v>152.59611573523588</v>
      </c>
      <c r="AQ16" s="471"/>
      <c r="AR16" s="5">
        <f t="shared" si="50"/>
        <v>6.5532467532467509</v>
      </c>
      <c r="AS16" s="5">
        <f t="shared" si="25"/>
        <v>1.0149999999999999</v>
      </c>
      <c r="AT16" s="5">
        <f t="shared" si="51"/>
        <v>5.5382467532467512</v>
      </c>
      <c r="AU16" s="178">
        <f t="shared" si="52"/>
        <v>0.15488505747126441</v>
      </c>
      <c r="AW16" s="5">
        <f t="shared" si="26"/>
        <v>0.37216666666666665</v>
      </c>
      <c r="AX16" s="5">
        <f t="shared" si="27"/>
        <v>0.18608333333333332</v>
      </c>
      <c r="AY16" s="5">
        <f t="shared" si="28"/>
        <v>0.10687844611528818</v>
      </c>
      <c r="AZ16" s="5"/>
      <c r="BA16" s="178">
        <f t="shared" si="53"/>
        <v>6.5893432483400391E-2</v>
      </c>
      <c r="BB16" s="178">
        <f t="shared" si="29"/>
        <v>0.3078401461076114</v>
      </c>
      <c r="BC16" s="178">
        <f t="shared" si="30"/>
        <v>0.1539200730538057</v>
      </c>
      <c r="BD16" s="178"/>
      <c r="BE16" s="545">
        <f t="shared" si="31"/>
        <v>1.519680555555556E-3</v>
      </c>
      <c r="BF16" s="545">
        <f t="shared" si="32"/>
        <v>1.6096982758620693E-2</v>
      </c>
      <c r="BG16" s="545">
        <f t="shared" si="33"/>
        <v>1.9074514466904486E-3</v>
      </c>
      <c r="BH16" s="545">
        <f t="shared" si="34"/>
        <v>1.7947210661910431E-2</v>
      </c>
      <c r="BI16">
        <f t="shared" si="35"/>
        <v>6.96E-3</v>
      </c>
      <c r="BJ16">
        <f t="shared" si="36"/>
        <v>4.4454733921455519E-2</v>
      </c>
      <c r="BK16" s="471">
        <f t="shared" si="54"/>
        <v>44.454733921455521</v>
      </c>
      <c r="BL16" s="178">
        <f t="shared" si="37"/>
        <v>1.3200000000000002E-2</v>
      </c>
      <c r="BM16" s="178">
        <f t="shared" si="38"/>
        <v>6.6000000000000008E-3</v>
      </c>
      <c r="BN16" s="545"/>
      <c r="BP16" s="471">
        <f t="shared" si="55"/>
        <v>19.8</v>
      </c>
      <c r="BQ16" s="545">
        <f t="shared" si="39"/>
        <v>4.1248472222222236E-4</v>
      </c>
      <c r="BR16" s="545">
        <f t="shared" si="56"/>
        <v>8.5288999999999972E-3</v>
      </c>
      <c r="BS16" s="545">
        <f t="shared" si="40"/>
        <v>2.3691388888888885E-3</v>
      </c>
      <c r="BT16" s="545">
        <f t="shared" si="41"/>
        <v>6.5136391680845626E-4</v>
      </c>
      <c r="BU16" s="545">
        <f t="shared" si="42"/>
        <v>1.197272094735671E-2</v>
      </c>
      <c r="BV16" s="655">
        <f t="shared" si="43"/>
        <v>2.8875000000000012E-3</v>
      </c>
      <c r="BW16" s="471">
        <f t="shared" si="57"/>
        <v>14.86022094735671</v>
      </c>
      <c r="BX16" s="178">
        <f t="shared" si="58"/>
        <v>7.9114954868812232E-2</v>
      </c>
      <c r="BY16" s="5">
        <f t="shared" si="59"/>
        <v>0.79200000000000004</v>
      </c>
      <c r="BZ16" s="178">
        <f t="shared" si="60"/>
        <v>0.90917966173508435</v>
      </c>
      <c r="CA16" s="5">
        <f t="shared" si="61"/>
        <v>90.917966173508432</v>
      </c>
      <c r="CB16">
        <f t="shared" si="62"/>
        <v>11</v>
      </c>
      <c r="CD16" s="580">
        <f t="shared" si="44"/>
        <v>-50</v>
      </c>
      <c r="CE16">
        <f t="shared" si="45"/>
        <v>-50</v>
      </c>
    </row>
    <row r="17" spans="5:83" x14ac:dyDescent="0.2">
      <c r="E17" s="175">
        <v>12</v>
      </c>
      <c r="F17" s="222">
        <f t="shared" si="63"/>
        <v>4.8000000000000001E-2</v>
      </c>
      <c r="G17" s="222">
        <f t="shared" si="46"/>
        <v>2.4E-2</v>
      </c>
      <c r="H17" s="222">
        <f t="shared" si="0"/>
        <v>0.57600000000000007</v>
      </c>
      <c r="I17" s="222">
        <f t="shared" si="64"/>
        <v>0.28800000000000003</v>
      </c>
      <c r="J17" s="558">
        <f t="shared" si="1"/>
        <v>24</v>
      </c>
      <c r="K17" s="453">
        <f t="shared" si="2"/>
        <v>24.5</v>
      </c>
      <c r="L17" s="453">
        <f t="shared" si="3"/>
        <v>48.5</v>
      </c>
      <c r="M17" s="453"/>
      <c r="N17" s="222">
        <f t="shared" si="4"/>
        <v>0.50515463917525771</v>
      </c>
      <c r="O17" s="177">
        <f t="shared" si="47"/>
        <v>5.5668041237113393</v>
      </c>
      <c r="P17" s="177">
        <f t="shared" si="5"/>
        <v>4.1751030927835044</v>
      </c>
      <c r="Q17" s="222">
        <f t="shared" si="6"/>
        <v>0.46390034364261162</v>
      </c>
      <c r="R17" s="222">
        <f t="shared" si="7"/>
        <v>0.46390034364261162</v>
      </c>
      <c r="S17" s="453">
        <f t="shared" si="8"/>
        <v>12</v>
      </c>
      <c r="T17" s="222">
        <f t="shared" si="9"/>
        <v>0.15003222341568209</v>
      </c>
      <c r="U17" s="222">
        <f t="shared" si="10"/>
        <v>0.52511278195488731</v>
      </c>
      <c r="V17" s="222">
        <f t="shared" si="11"/>
        <v>0.51439619456805286</v>
      </c>
      <c r="W17" s="202">
        <f t="shared" si="12"/>
        <v>350</v>
      </c>
      <c r="X17" s="453">
        <f t="shared" si="48"/>
        <v>350</v>
      </c>
      <c r="Z17" s="222">
        <f t="shared" si="13"/>
        <v>0.41237113402061859</v>
      </c>
      <c r="AA17" s="178">
        <f t="shared" si="14"/>
        <v>1.4138438880706923</v>
      </c>
      <c r="AB17" s="178">
        <f t="shared" si="15"/>
        <v>0.20405994260814117</v>
      </c>
      <c r="AC17" s="178"/>
      <c r="AD17" s="178">
        <f t="shared" si="16"/>
        <v>0.99428571428571422</v>
      </c>
      <c r="AE17" s="562">
        <f t="shared" si="17"/>
        <v>166.46848989298459</v>
      </c>
      <c r="AF17" s="545">
        <f t="shared" si="18"/>
        <v>0.10091999999999998</v>
      </c>
      <c r="AH17" s="178">
        <f t="shared" si="19"/>
        <v>0.24243661069253061</v>
      </c>
      <c r="AI17" s="178">
        <f t="shared" si="20"/>
        <v>0.28999999999999998</v>
      </c>
      <c r="AJ17" s="178">
        <f t="shared" si="21"/>
        <v>1.0951248513674197</v>
      </c>
      <c r="AL17" s="562">
        <f t="shared" si="22"/>
        <v>48</v>
      </c>
      <c r="AM17" s="471">
        <f t="shared" si="23"/>
        <v>166.46848989298459</v>
      </c>
      <c r="AO17">
        <f t="shared" si="49"/>
        <v>48</v>
      </c>
      <c r="AP17" s="471">
        <f t="shared" si="24"/>
        <v>166.46848989298459</v>
      </c>
      <c r="AQ17" s="471"/>
      <c r="AR17" s="5">
        <f t="shared" si="50"/>
        <v>6.0071428571428553</v>
      </c>
      <c r="AS17" s="5">
        <f t="shared" si="25"/>
        <v>1.0149999999999999</v>
      </c>
      <c r="AT17" s="5">
        <f t="shared" si="51"/>
        <v>4.9921428571428557</v>
      </c>
      <c r="AU17" s="178">
        <f t="shared" si="52"/>
        <v>0.16896551724137934</v>
      </c>
      <c r="AW17" s="5">
        <f t="shared" si="26"/>
        <v>0.40600000000000003</v>
      </c>
      <c r="AX17" s="5">
        <f t="shared" si="27"/>
        <v>0.20300000000000001</v>
      </c>
      <c r="AY17" s="5">
        <f t="shared" si="28"/>
        <v>0.10509774436090225</v>
      </c>
      <c r="AZ17" s="5"/>
      <c r="BA17" s="178">
        <f t="shared" si="53"/>
        <v>6.8823445617512261E-2</v>
      </c>
      <c r="BB17" s="178">
        <f t="shared" si="29"/>
        <v>0.30526491227566044</v>
      </c>
      <c r="BC17" s="178">
        <f t="shared" si="30"/>
        <v>0.15263245613783022</v>
      </c>
      <c r="BD17" s="178"/>
      <c r="BE17" s="545">
        <f t="shared" si="31"/>
        <v>1.6578333333333336E-3</v>
      </c>
      <c r="BF17" s="545">
        <f t="shared" si="32"/>
        <v>1.756034482758621E-2</v>
      </c>
      <c r="BG17" s="545">
        <f t="shared" si="33"/>
        <v>2.0808561236623072E-3</v>
      </c>
      <c r="BH17" s="545">
        <f t="shared" si="34"/>
        <v>1.9578775267538651E-2</v>
      </c>
      <c r="BI17">
        <f t="shared" si="35"/>
        <v>6.96E-3</v>
      </c>
      <c r="BJ17">
        <f t="shared" si="36"/>
        <v>4.7865305262176333E-2</v>
      </c>
      <c r="BK17" s="471">
        <f t="shared" si="54"/>
        <v>47.865305262176335</v>
      </c>
      <c r="BL17" s="178">
        <f t="shared" si="37"/>
        <v>1.44E-2</v>
      </c>
      <c r="BM17" s="178">
        <f t="shared" si="38"/>
        <v>7.1999999999999998E-3</v>
      </c>
      <c r="BN17" s="545"/>
      <c r="BP17" s="471">
        <f t="shared" si="55"/>
        <v>21.6</v>
      </c>
      <c r="BQ17" s="545">
        <f t="shared" si="39"/>
        <v>4.4998333333333342E-4</v>
      </c>
      <c r="BR17" s="545">
        <f t="shared" si="56"/>
        <v>8.3867999999999998E-3</v>
      </c>
      <c r="BS17" s="545">
        <f t="shared" si="40"/>
        <v>2.329666666666667E-3</v>
      </c>
      <c r="BT17" s="545">
        <f t="shared" si="41"/>
        <v>8.0964585862551488E-4</v>
      </c>
      <c r="BU17" s="545">
        <f t="shared" si="42"/>
        <v>1.1986803862304576E-2</v>
      </c>
      <c r="BV17" s="655">
        <f t="shared" si="43"/>
        <v>3.1500000000000009E-3</v>
      </c>
      <c r="BW17" s="471">
        <f t="shared" si="57"/>
        <v>15.136803862304575</v>
      </c>
      <c r="BX17" s="178">
        <f t="shared" si="58"/>
        <v>8.4602109124480906E-2</v>
      </c>
      <c r="BY17" s="5">
        <f t="shared" si="59"/>
        <v>0.8640000000000001</v>
      </c>
      <c r="BZ17" s="178">
        <f t="shared" si="60"/>
        <v>0.91081391416832824</v>
      </c>
      <c r="CA17" s="5">
        <f t="shared" si="61"/>
        <v>91.08139141683283</v>
      </c>
      <c r="CB17">
        <f t="shared" si="62"/>
        <v>12</v>
      </c>
      <c r="CD17" s="580">
        <f t="shared" si="44"/>
        <v>-50</v>
      </c>
      <c r="CE17">
        <f t="shared" si="45"/>
        <v>-50</v>
      </c>
    </row>
    <row r="18" spans="5:83" x14ac:dyDescent="0.2">
      <c r="E18" s="175">
        <v>13</v>
      </c>
      <c r="F18" s="222">
        <f t="shared" si="63"/>
        <v>5.2000000000000005E-2</v>
      </c>
      <c r="G18" s="222">
        <f t="shared" si="46"/>
        <v>2.6000000000000002E-2</v>
      </c>
      <c r="H18" s="222">
        <f t="shared" si="0"/>
        <v>0.62400000000000011</v>
      </c>
      <c r="I18" s="222">
        <f t="shared" si="64"/>
        <v>0.31200000000000006</v>
      </c>
      <c r="J18" s="558">
        <f t="shared" si="1"/>
        <v>24</v>
      </c>
      <c r="K18" s="453">
        <f t="shared" si="2"/>
        <v>24.5</v>
      </c>
      <c r="L18" s="453">
        <f t="shared" si="3"/>
        <v>48.5</v>
      </c>
      <c r="M18" s="453"/>
      <c r="N18" s="222">
        <f t="shared" si="4"/>
        <v>0.50515463917525771</v>
      </c>
      <c r="O18" s="177">
        <f t="shared" si="47"/>
        <v>5.5668041237113393</v>
      </c>
      <c r="P18" s="177">
        <f t="shared" si="5"/>
        <v>4.1751030927835044</v>
      </c>
      <c r="Q18" s="222">
        <f t="shared" si="6"/>
        <v>0.46390034364261162</v>
      </c>
      <c r="R18" s="222">
        <f t="shared" si="7"/>
        <v>0.46390034364261162</v>
      </c>
      <c r="S18" s="453">
        <f t="shared" si="8"/>
        <v>12</v>
      </c>
      <c r="T18" s="222">
        <f t="shared" si="9"/>
        <v>0.16253490870032228</v>
      </c>
      <c r="U18" s="222">
        <f t="shared" si="10"/>
        <v>0.56887218045112797</v>
      </c>
      <c r="V18" s="222">
        <f t="shared" si="11"/>
        <v>0.55726254411539067</v>
      </c>
      <c r="W18" s="202">
        <f t="shared" si="12"/>
        <v>350</v>
      </c>
      <c r="X18" s="453">
        <f t="shared" si="48"/>
        <v>350</v>
      </c>
      <c r="Z18" s="222">
        <f t="shared" si="13"/>
        <v>0.41237113402061859</v>
      </c>
      <c r="AA18" s="178">
        <f t="shared" si="14"/>
        <v>1.4138438880706923</v>
      </c>
      <c r="AB18" s="178">
        <f t="shared" si="15"/>
        <v>0.20405994260814117</v>
      </c>
      <c r="AC18" s="178"/>
      <c r="AD18" s="178">
        <f t="shared" si="16"/>
        <v>0.99428571428571422</v>
      </c>
      <c r="AE18" s="562">
        <f t="shared" si="17"/>
        <v>180.3408640507333</v>
      </c>
      <c r="AF18" s="545">
        <f t="shared" si="18"/>
        <v>0.10091999999999998</v>
      </c>
      <c r="AH18" s="178">
        <f t="shared" si="19"/>
        <v>0.25233602475222422</v>
      </c>
      <c r="AI18" s="178">
        <f t="shared" si="20"/>
        <v>0.28999999999999998</v>
      </c>
      <c r="AJ18" s="178">
        <f t="shared" si="21"/>
        <v>1.1030519223147048</v>
      </c>
      <c r="AL18" s="562">
        <f t="shared" si="22"/>
        <v>52.000000000000007</v>
      </c>
      <c r="AM18" s="471">
        <f t="shared" si="23"/>
        <v>180.3408640507333</v>
      </c>
      <c r="AO18">
        <f t="shared" si="49"/>
        <v>52.000000000000007</v>
      </c>
      <c r="AP18" s="471">
        <f t="shared" si="24"/>
        <v>180.3408640507333</v>
      </c>
      <c r="AQ18" s="471"/>
      <c r="AR18" s="5">
        <f t="shared" si="50"/>
        <v>5.545054945054944</v>
      </c>
      <c r="AS18" s="5">
        <f t="shared" si="25"/>
        <v>1.0149999999999999</v>
      </c>
      <c r="AT18" s="5">
        <f t="shared" si="51"/>
        <v>4.5300549450549443</v>
      </c>
      <c r="AU18" s="178">
        <f t="shared" si="52"/>
        <v>0.18304597701149428</v>
      </c>
      <c r="AW18" s="5">
        <f t="shared" si="26"/>
        <v>0.43983333333333335</v>
      </c>
      <c r="AX18" s="5">
        <f t="shared" si="27"/>
        <v>0.21991666666666668</v>
      </c>
      <c r="AY18" s="5">
        <f t="shared" si="28"/>
        <v>0.10331704260651628</v>
      </c>
      <c r="AZ18" s="5"/>
      <c r="BA18" s="178">
        <f t="shared" si="53"/>
        <v>7.163371335404084E-2</v>
      </c>
      <c r="BB18" s="178">
        <f t="shared" si="29"/>
        <v>0.30266776798624884</v>
      </c>
      <c r="BC18" s="178">
        <f t="shared" si="30"/>
        <v>0.15133388399312442</v>
      </c>
      <c r="BD18" s="178"/>
      <c r="BE18" s="545">
        <f t="shared" si="31"/>
        <v>1.795986111111111E-3</v>
      </c>
      <c r="BF18" s="545">
        <f t="shared" si="32"/>
        <v>1.9023706896551727E-2</v>
      </c>
      <c r="BG18" s="545">
        <f t="shared" si="33"/>
        <v>2.2542608006341663E-3</v>
      </c>
      <c r="BH18" s="545">
        <f t="shared" si="34"/>
        <v>2.121033987316687E-2</v>
      </c>
      <c r="BI18">
        <f t="shared" si="35"/>
        <v>6.96E-3</v>
      </c>
      <c r="BJ18">
        <f t="shared" si="36"/>
        <v>5.1276203333898679E-2</v>
      </c>
      <c r="BK18" s="471">
        <f t="shared" si="54"/>
        <v>51.276203333898678</v>
      </c>
      <c r="BL18" s="178">
        <f t="shared" si="37"/>
        <v>1.5600000000000001E-2</v>
      </c>
      <c r="BM18" s="178">
        <f t="shared" si="38"/>
        <v>7.8000000000000005E-3</v>
      </c>
      <c r="BN18" s="545"/>
      <c r="BP18" s="471">
        <f t="shared" si="55"/>
        <v>23.400000000000002</v>
      </c>
      <c r="BQ18" s="545">
        <f t="shared" si="39"/>
        <v>4.8748194444444448E-4</v>
      </c>
      <c r="BR18" s="545">
        <f t="shared" si="56"/>
        <v>8.2446999999999989E-3</v>
      </c>
      <c r="BS18" s="545">
        <f t="shared" si="40"/>
        <v>2.2901944444444441E-3</v>
      </c>
      <c r="BT18" s="545">
        <f t="shared" si="41"/>
        <v>9.8900927493427446E-4</v>
      </c>
      <c r="BU18" s="545">
        <f t="shared" si="42"/>
        <v>1.2021986532663575E-2</v>
      </c>
      <c r="BV18" s="655">
        <f t="shared" si="43"/>
        <v>3.4125000000000006E-3</v>
      </c>
      <c r="BW18" s="471">
        <f t="shared" si="57"/>
        <v>15.434486532663575</v>
      </c>
      <c r="BX18" s="178">
        <f t="shared" si="58"/>
        <v>9.011068986656226E-2</v>
      </c>
      <c r="BY18" s="5">
        <f t="shared" si="59"/>
        <v>0.93600000000000017</v>
      </c>
      <c r="BZ18" s="178">
        <f t="shared" si="60"/>
        <v>0.91218229109543691</v>
      </c>
      <c r="CA18" s="5">
        <f t="shared" si="61"/>
        <v>91.218229109543685</v>
      </c>
      <c r="CB18">
        <f t="shared" si="62"/>
        <v>13</v>
      </c>
      <c r="CD18" s="580">
        <f t="shared" si="44"/>
        <v>-50</v>
      </c>
      <c r="CE18">
        <f t="shared" si="45"/>
        <v>-50</v>
      </c>
    </row>
    <row r="19" spans="5:83" x14ac:dyDescent="0.2">
      <c r="E19" s="175">
        <v>14</v>
      </c>
      <c r="F19" s="222">
        <f t="shared" si="63"/>
        <v>5.6000000000000008E-2</v>
      </c>
      <c r="G19" s="222">
        <f t="shared" si="46"/>
        <v>2.8000000000000004E-2</v>
      </c>
      <c r="H19" s="222">
        <f t="shared" si="0"/>
        <v>0.67200000000000015</v>
      </c>
      <c r="I19" s="222">
        <f t="shared" si="64"/>
        <v>0.33600000000000008</v>
      </c>
      <c r="J19" s="558">
        <f t="shared" si="1"/>
        <v>24</v>
      </c>
      <c r="K19" s="453">
        <f t="shared" si="2"/>
        <v>24.5</v>
      </c>
      <c r="L19" s="453">
        <f t="shared" si="3"/>
        <v>48.5</v>
      </c>
      <c r="M19" s="453"/>
      <c r="N19" s="222">
        <f t="shared" si="4"/>
        <v>0.50515463917525771</v>
      </c>
      <c r="O19" s="177">
        <f t="shared" si="47"/>
        <v>5.5668041237113393</v>
      </c>
      <c r="P19" s="177">
        <f t="shared" si="5"/>
        <v>4.1751030927835044</v>
      </c>
      <c r="Q19" s="222">
        <f t="shared" si="6"/>
        <v>0.46390034364261162</v>
      </c>
      <c r="R19" s="222">
        <f t="shared" si="7"/>
        <v>0.46390034364261162</v>
      </c>
      <c r="S19" s="453">
        <f t="shared" si="8"/>
        <v>12</v>
      </c>
      <c r="T19" s="222">
        <f t="shared" si="9"/>
        <v>0.17503759398496246</v>
      </c>
      <c r="U19" s="222">
        <f t="shared" si="10"/>
        <v>0.61263157894736864</v>
      </c>
      <c r="V19" s="222">
        <f t="shared" si="11"/>
        <v>0.60012889366272837</v>
      </c>
      <c r="W19" s="202">
        <f t="shared" si="12"/>
        <v>350</v>
      </c>
      <c r="X19" s="453">
        <f t="shared" si="48"/>
        <v>350</v>
      </c>
      <c r="Z19" s="222">
        <f t="shared" si="13"/>
        <v>0.41237113402061859</v>
      </c>
      <c r="AA19" s="178">
        <f t="shared" si="14"/>
        <v>1.4138438880706923</v>
      </c>
      <c r="AB19" s="178">
        <f t="shared" si="15"/>
        <v>0.20405994260814117</v>
      </c>
      <c r="AC19" s="178"/>
      <c r="AD19" s="178">
        <f t="shared" si="16"/>
        <v>0.99428571428571422</v>
      </c>
      <c r="AE19" s="562">
        <f t="shared" si="17"/>
        <v>194.21323820848204</v>
      </c>
      <c r="AF19" s="545">
        <f t="shared" si="18"/>
        <v>0.10091999999999998</v>
      </c>
      <c r="AH19" s="178">
        <f t="shared" si="19"/>
        <v>0.2618614682831909</v>
      </c>
      <c r="AI19" s="178">
        <f t="shared" si="20"/>
        <v>0.28999999999999998</v>
      </c>
      <c r="AJ19" s="178">
        <f t="shared" si="21"/>
        <v>1.1109789932619898</v>
      </c>
      <c r="AL19" s="562">
        <f t="shared" si="22"/>
        <v>56.000000000000007</v>
      </c>
      <c r="AM19" s="471">
        <f t="shared" si="23"/>
        <v>194.21323820848204</v>
      </c>
      <c r="AO19">
        <f t="shared" si="49"/>
        <v>56.000000000000007</v>
      </c>
      <c r="AP19" s="471">
        <f t="shared" si="24"/>
        <v>194.21323820848204</v>
      </c>
      <c r="AQ19" s="471"/>
      <c r="AR19" s="5">
        <f t="shared" si="50"/>
        <v>5.1489795918367331</v>
      </c>
      <c r="AS19" s="5">
        <f t="shared" si="25"/>
        <v>1.0149999999999999</v>
      </c>
      <c r="AT19" s="5">
        <f t="shared" si="51"/>
        <v>4.1339795918367335</v>
      </c>
      <c r="AU19" s="178">
        <f t="shared" si="52"/>
        <v>0.19712643678160924</v>
      </c>
      <c r="AW19" s="5">
        <f t="shared" si="26"/>
        <v>0.47366666666666668</v>
      </c>
      <c r="AX19" s="5">
        <f t="shared" si="27"/>
        <v>0.23683333333333334</v>
      </c>
      <c r="AY19" s="5">
        <f t="shared" si="28"/>
        <v>0.1015363408521303</v>
      </c>
      <c r="AZ19" s="5"/>
      <c r="BA19" s="178">
        <f t="shared" si="53"/>
        <v>7.4337817503011966E-2</v>
      </c>
      <c r="BB19" s="178">
        <f t="shared" si="29"/>
        <v>0.30004814428502785</v>
      </c>
      <c r="BC19" s="178">
        <f t="shared" si="30"/>
        <v>0.15002407214251393</v>
      </c>
      <c r="BD19" s="178"/>
      <c r="BE19" s="545">
        <f t="shared" si="31"/>
        <v>1.9341388888888891E-3</v>
      </c>
      <c r="BF19" s="545">
        <f t="shared" si="32"/>
        <v>2.0487068965517247E-2</v>
      </c>
      <c r="BG19" s="545">
        <f t="shared" si="33"/>
        <v>2.4276654776060253E-3</v>
      </c>
      <c r="BH19" s="545">
        <f t="shared" si="34"/>
        <v>2.2841904478795094E-2</v>
      </c>
      <c r="BI19">
        <f t="shared" si="35"/>
        <v>6.96E-3</v>
      </c>
      <c r="BJ19">
        <f t="shared" si="36"/>
        <v>5.4687428183575824E-2</v>
      </c>
      <c r="BK19" s="471">
        <f t="shared" si="54"/>
        <v>54.687428183575825</v>
      </c>
      <c r="BL19" s="178">
        <f t="shared" si="37"/>
        <v>1.6800000000000002E-2</v>
      </c>
      <c r="BM19" s="178">
        <f t="shared" si="38"/>
        <v>8.4000000000000012E-3</v>
      </c>
      <c r="BN19" s="545"/>
      <c r="BP19" s="471">
        <f t="shared" si="55"/>
        <v>25.200000000000003</v>
      </c>
      <c r="BQ19" s="545">
        <f t="shared" si="39"/>
        <v>5.2498055555555564E-4</v>
      </c>
      <c r="BR19" s="545">
        <f t="shared" si="56"/>
        <v>8.1025999999999997E-3</v>
      </c>
      <c r="BS19" s="545">
        <f t="shared" si="40"/>
        <v>2.2507222222222225E-3</v>
      </c>
      <c r="BT19" s="545">
        <f t="shared" si="41"/>
        <v>1.1903154560060022E-3</v>
      </c>
      <c r="BU19" s="545">
        <f t="shared" si="42"/>
        <v>1.2079130268692187E-2</v>
      </c>
      <c r="BV19" s="655">
        <f t="shared" si="43"/>
        <v>3.6750000000000012E-3</v>
      </c>
      <c r="BW19" s="471">
        <f t="shared" si="57"/>
        <v>15.754130268692188</v>
      </c>
      <c r="BX19" s="178">
        <f t="shared" si="58"/>
        <v>9.5641558452268016E-2</v>
      </c>
      <c r="BY19" s="5">
        <f t="shared" si="59"/>
        <v>1.0080000000000002</v>
      </c>
      <c r="BZ19" s="178">
        <f t="shared" si="60"/>
        <v>0.91334001721863889</v>
      </c>
      <c r="CA19" s="5">
        <f t="shared" si="61"/>
        <v>91.334001721863885</v>
      </c>
      <c r="CB19">
        <f t="shared" si="62"/>
        <v>14.000000000000002</v>
      </c>
      <c r="CD19" s="580">
        <f t="shared" si="44"/>
        <v>-50</v>
      </c>
      <c r="CE19">
        <f t="shared" si="45"/>
        <v>-50</v>
      </c>
    </row>
    <row r="20" spans="5:83" x14ac:dyDescent="0.2">
      <c r="E20" s="175">
        <v>15</v>
      </c>
      <c r="F20" s="222">
        <f t="shared" si="63"/>
        <v>0.06</v>
      </c>
      <c r="G20" s="222">
        <f t="shared" si="46"/>
        <v>0.03</v>
      </c>
      <c r="H20" s="222">
        <f t="shared" si="0"/>
        <v>0.72</v>
      </c>
      <c r="I20" s="222">
        <f t="shared" si="64"/>
        <v>0.36</v>
      </c>
      <c r="J20" s="558">
        <f t="shared" si="1"/>
        <v>24</v>
      </c>
      <c r="K20" s="453">
        <f t="shared" si="2"/>
        <v>24.5</v>
      </c>
      <c r="L20" s="453">
        <f t="shared" si="3"/>
        <v>48.5</v>
      </c>
      <c r="M20" s="453"/>
      <c r="N20" s="222">
        <f t="shared" si="4"/>
        <v>0.50515463917525771</v>
      </c>
      <c r="O20" s="177">
        <f t="shared" si="47"/>
        <v>5.5668041237113393</v>
      </c>
      <c r="P20" s="177">
        <f t="shared" si="5"/>
        <v>4.1751030927835044</v>
      </c>
      <c r="Q20" s="222">
        <f t="shared" si="6"/>
        <v>0.46390034364261162</v>
      </c>
      <c r="R20" s="222">
        <f t="shared" si="7"/>
        <v>0.46390034364261162</v>
      </c>
      <c r="S20" s="453">
        <f t="shared" si="8"/>
        <v>12</v>
      </c>
      <c r="T20" s="222">
        <f t="shared" si="9"/>
        <v>0.18754027926960262</v>
      </c>
      <c r="U20" s="222">
        <f t="shared" si="10"/>
        <v>0.65639097744360919</v>
      </c>
      <c r="V20" s="222">
        <f t="shared" si="11"/>
        <v>0.64299524321006607</v>
      </c>
      <c r="W20" s="202">
        <f t="shared" si="12"/>
        <v>350</v>
      </c>
      <c r="X20" s="453">
        <f t="shared" si="48"/>
        <v>350</v>
      </c>
      <c r="Z20" s="222">
        <f t="shared" si="13"/>
        <v>0.41237113402061859</v>
      </c>
      <c r="AA20" s="178">
        <f t="shared" si="14"/>
        <v>1.4138438880706923</v>
      </c>
      <c r="AB20" s="178">
        <f t="shared" si="15"/>
        <v>0.20405994260814117</v>
      </c>
      <c r="AC20" s="178"/>
      <c r="AD20" s="178">
        <f t="shared" si="16"/>
        <v>0.99428571428571422</v>
      </c>
      <c r="AE20" s="562">
        <f t="shared" si="17"/>
        <v>208.08561236623072</v>
      </c>
      <c r="AF20" s="545">
        <f t="shared" si="18"/>
        <v>0.10091999999999998</v>
      </c>
      <c r="AH20" s="178">
        <f t="shared" si="19"/>
        <v>0.27105237087157541</v>
      </c>
      <c r="AI20" s="178">
        <f t="shared" si="20"/>
        <v>0.28999999999999998</v>
      </c>
      <c r="AJ20" s="178">
        <f t="shared" si="21"/>
        <v>1.1189060642092747</v>
      </c>
      <c r="AL20" s="562">
        <f t="shared" si="22"/>
        <v>60</v>
      </c>
      <c r="AM20" s="471">
        <f t="shared" si="23"/>
        <v>208.08561236623072</v>
      </c>
      <c r="AO20">
        <f t="shared" si="49"/>
        <v>60</v>
      </c>
      <c r="AP20" s="471">
        <f t="shared" si="24"/>
        <v>208.08561236623072</v>
      </c>
      <c r="AQ20" s="471"/>
      <c r="AR20" s="5">
        <f t="shared" si="50"/>
        <v>4.8057142857142843</v>
      </c>
      <c r="AS20" s="5">
        <f t="shared" si="25"/>
        <v>1.0149999999999999</v>
      </c>
      <c r="AT20" s="5">
        <f t="shared" si="51"/>
        <v>3.7907142857142846</v>
      </c>
      <c r="AU20" s="178">
        <f t="shared" si="52"/>
        <v>0.21120689655172417</v>
      </c>
      <c r="AW20" s="5">
        <f t="shared" si="26"/>
        <v>0.50749999999999995</v>
      </c>
      <c r="AX20" s="5">
        <f t="shared" si="27"/>
        <v>0.25374999999999998</v>
      </c>
      <c r="AY20" s="5">
        <f t="shared" si="28"/>
        <v>9.975563909774432E-2</v>
      </c>
      <c r="AZ20" s="5"/>
      <c r="BA20" s="178">
        <f t="shared" si="53"/>
        <v>7.6946951423258692E-2</v>
      </c>
      <c r="BB20" s="178">
        <f t="shared" si="29"/>
        <v>0.29740544715926104</v>
      </c>
      <c r="BC20" s="178">
        <f t="shared" si="30"/>
        <v>0.14870272357963052</v>
      </c>
      <c r="BD20" s="178"/>
      <c r="BE20" s="545">
        <f t="shared" si="31"/>
        <v>2.0722916666666663E-3</v>
      </c>
      <c r="BF20" s="545">
        <f t="shared" si="32"/>
        <v>2.195043103448276E-2</v>
      </c>
      <c r="BG20" s="545">
        <f t="shared" si="33"/>
        <v>2.6010701545778839E-3</v>
      </c>
      <c r="BH20" s="545">
        <f t="shared" si="34"/>
        <v>2.4473469084423313E-2</v>
      </c>
      <c r="BI20">
        <f t="shared" si="35"/>
        <v>6.96E-3</v>
      </c>
      <c r="BJ20">
        <f t="shared" si="36"/>
        <v>5.8098979858169988E-2</v>
      </c>
      <c r="BK20" s="471">
        <f t="shared" si="54"/>
        <v>58.09897985816999</v>
      </c>
      <c r="BL20" s="178">
        <f t="shared" si="37"/>
        <v>1.7999999999999999E-2</v>
      </c>
      <c r="BM20" s="178">
        <f t="shared" si="38"/>
        <v>8.9999999999999993E-3</v>
      </c>
      <c r="BN20" s="545"/>
      <c r="BP20" s="471">
        <f t="shared" si="55"/>
        <v>26.999999999999996</v>
      </c>
      <c r="BQ20" s="545">
        <f t="shared" si="39"/>
        <v>5.6247916666666664E-4</v>
      </c>
      <c r="BR20" s="545">
        <f t="shared" si="56"/>
        <v>7.9605000000000006E-3</v>
      </c>
      <c r="BS20" s="545">
        <f t="shared" si="40"/>
        <v>2.2112500000000005E-3</v>
      </c>
      <c r="BT20" s="545">
        <f t="shared" si="41"/>
        <v>1.414393107490496E-3</v>
      </c>
      <c r="BU20" s="545">
        <f t="shared" si="42"/>
        <v>1.215906372827808E-2</v>
      </c>
      <c r="BV20" s="655">
        <f t="shared" si="43"/>
        <v>3.9375000000000009E-3</v>
      </c>
      <c r="BW20" s="471">
        <f t="shared" si="57"/>
        <v>16.096563728278081</v>
      </c>
      <c r="BX20" s="178">
        <f t="shared" si="58"/>
        <v>0.10119554358644806</v>
      </c>
      <c r="BY20" s="5">
        <f t="shared" si="59"/>
        <v>1.08</v>
      </c>
      <c r="BZ20" s="178">
        <f t="shared" si="60"/>
        <v>0.9143278654106759</v>
      </c>
      <c r="CA20" s="5">
        <f t="shared" si="61"/>
        <v>91.432786541067586</v>
      </c>
      <c r="CB20">
        <f t="shared" si="62"/>
        <v>15</v>
      </c>
      <c r="CD20" s="580">
        <f t="shared" si="44"/>
        <v>-50</v>
      </c>
      <c r="CE20">
        <f t="shared" si="45"/>
        <v>-50</v>
      </c>
    </row>
    <row r="21" spans="5:83" s="77" customFormat="1" x14ac:dyDescent="0.2">
      <c r="E21" s="194">
        <v>16</v>
      </c>
      <c r="F21" s="334">
        <f t="shared" si="63"/>
        <v>6.4000000000000001E-2</v>
      </c>
      <c r="G21" s="222">
        <f t="shared" si="46"/>
        <v>3.2000000000000001E-2</v>
      </c>
      <c r="H21" s="222">
        <f t="shared" si="0"/>
        <v>0.76800000000000002</v>
      </c>
      <c r="I21" s="222">
        <f t="shared" si="64"/>
        <v>0.38400000000000001</v>
      </c>
      <c r="J21" s="558">
        <f t="shared" si="1"/>
        <v>24</v>
      </c>
      <c r="K21" s="453">
        <f t="shared" si="2"/>
        <v>24.5</v>
      </c>
      <c r="L21" s="552">
        <f t="shared" si="3"/>
        <v>48.5</v>
      </c>
      <c r="M21" s="552"/>
      <c r="N21" s="334">
        <f t="shared" si="4"/>
        <v>0.50515463917525771</v>
      </c>
      <c r="O21" s="177">
        <f t="shared" si="47"/>
        <v>5.5668041237113393</v>
      </c>
      <c r="P21" s="177">
        <f t="shared" si="5"/>
        <v>4.1751030927835044</v>
      </c>
      <c r="Q21" s="334">
        <f t="shared" si="6"/>
        <v>0.46390034364261162</v>
      </c>
      <c r="R21" s="222">
        <f t="shared" si="7"/>
        <v>0.46390034364261162</v>
      </c>
      <c r="S21" s="453">
        <f t="shared" si="8"/>
        <v>12</v>
      </c>
      <c r="T21" s="222">
        <f t="shared" si="9"/>
        <v>0.20004296455424281</v>
      </c>
      <c r="U21" s="334">
        <f t="shared" si="10"/>
        <v>0.70015037593984975</v>
      </c>
      <c r="V21" s="222">
        <f t="shared" si="11"/>
        <v>0.68586159275740377</v>
      </c>
      <c r="W21" s="554">
        <f t="shared" si="12"/>
        <v>350</v>
      </c>
      <c r="X21" s="552">
        <f t="shared" si="48"/>
        <v>350</v>
      </c>
      <c r="Z21" s="334">
        <f t="shared" si="13"/>
        <v>0.41237113402061859</v>
      </c>
      <c r="AA21" s="178">
        <f t="shared" si="14"/>
        <v>1.4138438880706923</v>
      </c>
      <c r="AB21" s="178">
        <f t="shared" si="15"/>
        <v>0.20405994260814117</v>
      </c>
      <c r="AC21" s="555"/>
      <c r="AD21" s="178">
        <f t="shared" si="16"/>
        <v>0.99428571428571422</v>
      </c>
      <c r="AE21" s="562">
        <f t="shared" si="17"/>
        <v>221.95798652397946</v>
      </c>
      <c r="AF21" s="545">
        <f t="shared" si="18"/>
        <v>0.10091999999999998</v>
      </c>
      <c r="AG21"/>
      <c r="AH21" s="178">
        <f t="shared" si="19"/>
        <v>0.2799416848895061</v>
      </c>
      <c r="AI21" s="178">
        <f t="shared" si="20"/>
        <v>0.28999999999999998</v>
      </c>
      <c r="AJ21" s="178">
        <f t="shared" si="21"/>
        <v>1.1268331351565597</v>
      </c>
      <c r="AL21" s="562">
        <f t="shared" si="22"/>
        <v>64</v>
      </c>
      <c r="AM21" s="471">
        <f t="shared" si="23"/>
        <v>221.95798652397946</v>
      </c>
      <c r="AO21">
        <f t="shared" si="49"/>
        <v>64</v>
      </c>
      <c r="AP21" s="471">
        <f t="shared" si="24"/>
        <v>221.95798652397946</v>
      </c>
      <c r="AQ21" s="471"/>
      <c r="AR21" s="5">
        <f t="shared" si="50"/>
        <v>4.5053571428571413</v>
      </c>
      <c r="AS21" s="5">
        <f t="shared" si="25"/>
        <v>1.0149999999999999</v>
      </c>
      <c r="AT21" s="5">
        <f t="shared" si="51"/>
        <v>3.4903571428571416</v>
      </c>
      <c r="AU21" s="178">
        <f t="shared" si="52"/>
        <v>0.22528735632183913</v>
      </c>
      <c r="AW21" s="5">
        <f t="shared" si="26"/>
        <v>0.54133333333333322</v>
      </c>
      <c r="AX21" s="5">
        <f t="shared" si="27"/>
        <v>0.27066666666666661</v>
      </c>
      <c r="AY21" s="5">
        <f t="shared" si="28"/>
        <v>9.7974937343358368E-2</v>
      </c>
      <c r="AZ21" s="5"/>
      <c r="BA21" s="178">
        <f t="shared" si="53"/>
        <v>7.9470469707656546E-2</v>
      </c>
      <c r="BB21" s="178">
        <f t="shared" si="29"/>
        <v>0.29473905596495198</v>
      </c>
      <c r="BC21" s="178">
        <f t="shared" si="30"/>
        <v>0.14736952798247599</v>
      </c>
      <c r="BD21" s="178"/>
      <c r="BE21" s="545">
        <f t="shared" si="31"/>
        <v>2.2104444444444446E-3</v>
      </c>
      <c r="BF21" s="545">
        <f t="shared" si="32"/>
        <v>2.3413793103448283E-2</v>
      </c>
      <c r="BG21" s="545">
        <f t="shared" si="33"/>
        <v>2.774474831549743E-3</v>
      </c>
      <c r="BH21" s="545">
        <f t="shared" si="34"/>
        <v>2.6105033690051536E-2</v>
      </c>
      <c r="BI21">
        <f t="shared" si="35"/>
        <v>6.96E-3</v>
      </c>
      <c r="BJ21">
        <f t="shared" si="36"/>
        <v>6.1510858404652438E-2</v>
      </c>
      <c r="BK21" s="471">
        <f t="shared" si="54"/>
        <v>61.510858404652438</v>
      </c>
      <c r="BL21" s="178">
        <f t="shared" si="37"/>
        <v>1.9199999999999998E-2</v>
      </c>
      <c r="BM21" s="178">
        <f t="shared" si="38"/>
        <v>9.5999999999999992E-3</v>
      </c>
      <c r="BN21" s="545"/>
      <c r="BP21" s="471">
        <f t="shared" si="55"/>
        <v>28.8</v>
      </c>
      <c r="BQ21" s="545">
        <f t="shared" si="39"/>
        <v>5.9997777777777797E-4</v>
      </c>
      <c r="BR21" s="545">
        <f t="shared" si="56"/>
        <v>7.8183999999999979E-3</v>
      </c>
      <c r="BS21" s="545">
        <f t="shared" si="40"/>
        <v>2.1717777777777772E-3</v>
      </c>
      <c r="BT21" s="545">
        <f t="shared" si="41"/>
        <v>1.6620417935136254E-3</v>
      </c>
      <c r="BU21" s="545">
        <f t="shared" si="42"/>
        <v>1.2262586364838545E-2</v>
      </c>
      <c r="BV21" s="655">
        <f t="shared" si="43"/>
        <v>4.2000000000000015E-3</v>
      </c>
      <c r="BW21" s="471">
        <f t="shared" si="57"/>
        <v>16.462586364838547</v>
      </c>
      <c r="BX21" s="178">
        <f t="shared" si="58"/>
        <v>0.10677344476949097</v>
      </c>
      <c r="BY21" s="5">
        <f t="shared" si="59"/>
        <v>1.1520000000000001</v>
      </c>
      <c r="BZ21" s="178">
        <f t="shared" si="60"/>
        <v>0.91517659892400771</v>
      </c>
      <c r="CA21" s="5">
        <f t="shared" si="61"/>
        <v>91.517659892400772</v>
      </c>
      <c r="CB21">
        <f t="shared" si="62"/>
        <v>16</v>
      </c>
      <c r="CD21" s="580">
        <f t="shared" si="44"/>
        <v>-50</v>
      </c>
      <c r="CE21">
        <f t="shared" si="45"/>
        <v>-50</v>
      </c>
    </row>
    <row r="22" spans="5:83" x14ac:dyDescent="0.2">
      <c r="E22" s="175">
        <v>17</v>
      </c>
      <c r="F22" s="222">
        <f t="shared" si="63"/>
        <v>6.8000000000000005E-2</v>
      </c>
      <c r="G22" s="222">
        <f t="shared" si="46"/>
        <v>3.4000000000000002E-2</v>
      </c>
      <c r="H22" s="222">
        <f t="shared" si="0"/>
        <v>0.81600000000000006</v>
      </c>
      <c r="I22" s="222">
        <f t="shared" si="64"/>
        <v>0.40800000000000003</v>
      </c>
      <c r="J22" s="558">
        <f t="shared" si="1"/>
        <v>24</v>
      </c>
      <c r="K22" s="453">
        <f t="shared" si="2"/>
        <v>24.5</v>
      </c>
      <c r="L22" s="453">
        <f t="shared" si="3"/>
        <v>48.5</v>
      </c>
      <c r="M22" s="453"/>
      <c r="N22" s="222">
        <f t="shared" si="4"/>
        <v>0.50515463917525771</v>
      </c>
      <c r="O22" s="177">
        <f t="shared" si="47"/>
        <v>5.5668041237113393</v>
      </c>
      <c r="P22" s="177">
        <f t="shared" si="5"/>
        <v>4.1751030927835044</v>
      </c>
      <c r="Q22" s="222">
        <f t="shared" si="6"/>
        <v>0.46390034364261162</v>
      </c>
      <c r="R22" s="222">
        <f t="shared" si="7"/>
        <v>0.46390034364261162</v>
      </c>
      <c r="S22" s="453">
        <f t="shared" si="8"/>
        <v>12</v>
      </c>
      <c r="T22" s="222">
        <f t="shared" si="9"/>
        <v>0.21254564983888299</v>
      </c>
      <c r="U22" s="222">
        <f t="shared" si="10"/>
        <v>0.74390977443609041</v>
      </c>
      <c r="V22" s="222">
        <f t="shared" si="11"/>
        <v>0.72872794230474158</v>
      </c>
      <c r="W22" s="202">
        <f t="shared" si="12"/>
        <v>350</v>
      </c>
      <c r="X22" s="453">
        <f t="shared" si="48"/>
        <v>350</v>
      </c>
      <c r="Z22" s="222">
        <f t="shared" si="13"/>
        <v>0.41237113402061859</v>
      </c>
      <c r="AA22" s="178">
        <f t="shared" si="14"/>
        <v>1.4138438880706923</v>
      </c>
      <c r="AB22" s="178">
        <f t="shared" si="15"/>
        <v>0.20405994260814117</v>
      </c>
      <c r="AC22" s="178"/>
      <c r="AD22" s="178">
        <f t="shared" si="16"/>
        <v>0.99428571428571422</v>
      </c>
      <c r="AE22" s="562">
        <f t="shared" si="17"/>
        <v>235.83036068172817</v>
      </c>
      <c r="AF22" s="545">
        <f t="shared" si="18"/>
        <v>0.10091999999999998</v>
      </c>
      <c r="AH22" s="178">
        <f t="shared" si="19"/>
        <v>0.28855728395320224</v>
      </c>
      <c r="AI22" s="178">
        <f t="shared" si="20"/>
        <v>0.28999999999999998</v>
      </c>
      <c r="AJ22" s="178">
        <f t="shared" si="21"/>
        <v>1.1347602061038446</v>
      </c>
      <c r="AL22" s="562">
        <f t="shared" si="22"/>
        <v>68</v>
      </c>
      <c r="AM22" s="471">
        <f t="shared" si="23"/>
        <v>235.83036068172817</v>
      </c>
      <c r="AO22">
        <f t="shared" si="49"/>
        <v>68</v>
      </c>
      <c r="AP22" s="471">
        <f t="shared" si="24"/>
        <v>235.83036068172817</v>
      </c>
      <c r="AQ22" s="471"/>
      <c r="AR22" s="5">
        <f t="shared" si="50"/>
        <v>4.2403361344537807</v>
      </c>
      <c r="AS22" s="5">
        <f t="shared" si="25"/>
        <v>1.0149999999999999</v>
      </c>
      <c r="AT22" s="5">
        <f t="shared" si="51"/>
        <v>3.225336134453781</v>
      </c>
      <c r="AU22" s="178">
        <f t="shared" si="52"/>
        <v>0.23936781609195404</v>
      </c>
      <c r="AW22" s="5">
        <f t="shared" si="26"/>
        <v>0.5751666666666666</v>
      </c>
      <c r="AX22" s="5">
        <f t="shared" si="27"/>
        <v>0.2875833333333333</v>
      </c>
      <c r="AY22" s="5">
        <f t="shared" si="28"/>
        <v>9.6194235588972415E-2</v>
      </c>
      <c r="AZ22" s="5"/>
      <c r="BA22" s="178">
        <f t="shared" si="53"/>
        <v>8.1916285180529139E-2</v>
      </c>
      <c r="BB22" s="178">
        <f t="shared" si="29"/>
        <v>0.29204832172471423</v>
      </c>
      <c r="BC22" s="178">
        <f t="shared" si="30"/>
        <v>0.14602416086235712</v>
      </c>
      <c r="BD22" s="178"/>
      <c r="BE22" s="545">
        <f t="shared" si="31"/>
        <v>2.348597222222222E-3</v>
      </c>
      <c r="BF22" s="545">
        <f t="shared" si="32"/>
        <v>2.4877155172413797E-2</v>
      </c>
      <c r="BG22" s="545">
        <f t="shared" si="33"/>
        <v>2.947879508521602E-3</v>
      </c>
      <c r="BH22" s="545">
        <f t="shared" si="34"/>
        <v>2.7736598295679756E-2</v>
      </c>
      <c r="BI22">
        <f t="shared" si="35"/>
        <v>6.96E-3</v>
      </c>
      <c r="BJ22">
        <f t="shared" si="36"/>
        <v>6.4923063870003378E-2</v>
      </c>
      <c r="BK22" s="471">
        <f t="shared" si="54"/>
        <v>64.923063870003375</v>
      </c>
      <c r="BL22" s="178">
        <f t="shared" si="37"/>
        <v>2.0400000000000001E-2</v>
      </c>
      <c r="BM22" s="178">
        <f t="shared" si="38"/>
        <v>1.0200000000000001E-2</v>
      </c>
      <c r="BN22" s="545"/>
      <c r="BP22" s="471">
        <f t="shared" si="55"/>
        <v>30.6</v>
      </c>
      <c r="BQ22" s="545">
        <f t="shared" si="39"/>
        <v>6.3747638888888886E-4</v>
      </c>
      <c r="BR22" s="545">
        <f t="shared" si="56"/>
        <v>7.6762999999999961E-3</v>
      </c>
      <c r="BS22" s="545">
        <f t="shared" si="40"/>
        <v>2.1323055555555548E-3</v>
      </c>
      <c r="BT22" s="545">
        <f t="shared" si="41"/>
        <v>1.9340348125947123E-3</v>
      </c>
      <c r="BU22" s="545">
        <f t="shared" si="42"/>
        <v>1.2390471307327681E-2</v>
      </c>
      <c r="BV22" s="655">
        <f t="shared" si="43"/>
        <v>4.4625000000000012E-3</v>
      </c>
      <c r="BW22" s="471">
        <f t="shared" si="57"/>
        <v>16.852971307327682</v>
      </c>
      <c r="BX22" s="178">
        <f t="shared" si="58"/>
        <v>0.11237603517733105</v>
      </c>
      <c r="BY22" s="5">
        <f t="shared" si="59"/>
        <v>1.2240000000000002</v>
      </c>
      <c r="BZ22" s="178">
        <f t="shared" si="60"/>
        <v>0.91590986951332209</v>
      </c>
      <c r="CA22" s="5">
        <f t="shared" si="61"/>
        <v>91.590986951332212</v>
      </c>
      <c r="CB22">
        <f t="shared" si="62"/>
        <v>17</v>
      </c>
      <c r="CD22" s="580">
        <f t="shared" si="44"/>
        <v>-50</v>
      </c>
      <c r="CE22">
        <f t="shared" si="45"/>
        <v>-50</v>
      </c>
    </row>
    <row r="23" spans="5:83" x14ac:dyDescent="0.2">
      <c r="E23" s="175">
        <v>18</v>
      </c>
      <c r="F23" s="222">
        <f t="shared" si="63"/>
        <v>7.1999999999999995E-2</v>
      </c>
      <c r="G23" s="222">
        <f t="shared" si="46"/>
        <v>3.5999999999999997E-2</v>
      </c>
      <c r="H23" s="222">
        <f t="shared" si="0"/>
        <v>0.86399999999999988</v>
      </c>
      <c r="I23" s="222">
        <f t="shared" si="64"/>
        <v>0.43199999999999994</v>
      </c>
      <c r="J23" s="558">
        <f t="shared" si="1"/>
        <v>24</v>
      </c>
      <c r="K23" s="453">
        <f t="shared" si="2"/>
        <v>24.5</v>
      </c>
      <c r="L23" s="453">
        <f t="shared" si="3"/>
        <v>48.5</v>
      </c>
      <c r="M23" s="453"/>
      <c r="N23" s="222">
        <f t="shared" si="4"/>
        <v>0.50515463917525771</v>
      </c>
      <c r="O23" s="177">
        <f t="shared" si="47"/>
        <v>5.5668041237113393</v>
      </c>
      <c r="P23" s="177">
        <f t="shared" si="5"/>
        <v>4.1751030927835044</v>
      </c>
      <c r="Q23" s="222">
        <f t="shared" si="6"/>
        <v>0.46390034364261162</v>
      </c>
      <c r="R23" s="222">
        <f t="shared" si="7"/>
        <v>0.46390034364261162</v>
      </c>
      <c r="S23" s="453">
        <f t="shared" si="8"/>
        <v>12</v>
      </c>
      <c r="T23" s="222">
        <f t="shared" si="9"/>
        <v>0.2250483351235231</v>
      </c>
      <c r="U23" s="222">
        <f t="shared" si="10"/>
        <v>0.78766917293233085</v>
      </c>
      <c r="V23" s="222">
        <f t="shared" si="11"/>
        <v>0.77159429185207917</v>
      </c>
      <c r="W23" s="202">
        <f t="shared" si="12"/>
        <v>350</v>
      </c>
      <c r="X23" s="453">
        <f t="shared" si="48"/>
        <v>350</v>
      </c>
      <c r="Z23" s="222">
        <f t="shared" si="13"/>
        <v>0.41237113402061859</v>
      </c>
      <c r="AA23" s="178">
        <f t="shared" si="14"/>
        <v>1.4138438880706923</v>
      </c>
      <c r="AB23" s="178">
        <f t="shared" si="15"/>
        <v>0.20405994260814117</v>
      </c>
      <c r="AC23" s="178"/>
      <c r="AD23" s="178">
        <f t="shared" si="16"/>
        <v>0.99428571428571422</v>
      </c>
      <c r="AE23" s="562">
        <f t="shared" si="17"/>
        <v>249.70273483947685</v>
      </c>
      <c r="AF23" s="545">
        <f t="shared" si="18"/>
        <v>0.10091999999999998</v>
      </c>
      <c r="AH23" s="178">
        <f t="shared" si="19"/>
        <v>0.29692299558323609</v>
      </c>
      <c r="AI23" s="178">
        <f t="shared" si="20"/>
        <v>0.29692299558323609</v>
      </c>
      <c r="AJ23" s="178">
        <f t="shared" si="21"/>
        <v>1.1426872770511296</v>
      </c>
      <c r="AL23" s="562">
        <f t="shared" si="22"/>
        <v>72</v>
      </c>
      <c r="AM23" s="471">
        <f t="shared" si="23"/>
        <v>249.70273483947685</v>
      </c>
      <c r="AO23">
        <f t="shared" si="49"/>
        <v>72</v>
      </c>
      <c r="AP23" s="471">
        <f t="shared" si="24"/>
        <v>249.70273483947685</v>
      </c>
      <c r="AQ23" s="471"/>
      <c r="AR23" s="5">
        <f t="shared" si="50"/>
        <v>4.0047619047619039</v>
      </c>
      <c r="AS23" s="5">
        <f t="shared" si="25"/>
        <v>1.0392304845413263</v>
      </c>
      <c r="AT23" s="5">
        <f t="shared" si="51"/>
        <v>2.9655314202205778</v>
      </c>
      <c r="AU23" s="178">
        <f t="shared" si="52"/>
        <v>0.25949869411852389</v>
      </c>
      <c r="AW23" s="5">
        <f t="shared" si="26"/>
        <v>0.62353829072479583</v>
      </c>
      <c r="AX23" s="5">
        <f t="shared" si="27"/>
        <v>0.31176914536239791</v>
      </c>
      <c r="AY23" s="5">
        <f t="shared" si="28"/>
        <v>9.3648360638544537E-2</v>
      </c>
      <c r="AZ23" s="5"/>
      <c r="BA23" s="178">
        <f t="shared" si="53"/>
        <v>8.7327453140776862E-2</v>
      </c>
      <c r="BB23" s="178">
        <f t="shared" si="29"/>
        <v>0.2950367504565235</v>
      </c>
      <c r="BC23" s="178">
        <f t="shared" si="30"/>
        <v>0.14751837522826175</v>
      </c>
      <c r="BD23" s="178"/>
      <c r="BE23" s="545">
        <f t="shared" si="31"/>
        <v>2.6691294252191022E-3</v>
      </c>
      <c r="BF23" s="545">
        <f t="shared" si="32"/>
        <v>2.6969328567318013E-2</v>
      </c>
      <c r="BG23" s="545">
        <f t="shared" si="33"/>
        <v>3.1212841854934602E-3</v>
      </c>
      <c r="BH23" s="545">
        <f t="shared" si="34"/>
        <v>2.9368162901307972E-2</v>
      </c>
      <c r="BI23">
        <f t="shared" si="35"/>
        <v>6.96E-3</v>
      </c>
      <c r="BJ23">
        <f t="shared" si="36"/>
        <v>6.915186040880858E-2</v>
      </c>
      <c r="BK23" s="471">
        <f t="shared" si="54"/>
        <v>69.151860408808574</v>
      </c>
      <c r="BL23" s="178">
        <f t="shared" si="37"/>
        <v>2.1599999999999998E-2</v>
      </c>
      <c r="BM23" s="178">
        <f t="shared" si="38"/>
        <v>1.0799999999999999E-2</v>
      </c>
      <c r="BN23" s="545"/>
      <c r="BP23" s="471">
        <f t="shared" si="55"/>
        <v>32.4</v>
      </c>
      <c r="BQ23" s="545">
        <f t="shared" si="39"/>
        <v>7.2447798684518495E-4</v>
      </c>
      <c r="BR23" s="545">
        <f t="shared" si="56"/>
        <v>7.8342015707950421E-3</v>
      </c>
      <c r="BS23" s="545">
        <f t="shared" si="40"/>
        <v>2.1761671029986228E-3</v>
      </c>
      <c r="BT23" s="545">
        <f t="shared" si="41"/>
        <v>2.3666707055834415E-3</v>
      </c>
      <c r="BU23" s="545">
        <f t="shared" si="42"/>
        <v>1.311277845950691E-2</v>
      </c>
      <c r="BV23" s="655">
        <f t="shared" si="43"/>
        <v>4.9532869033463572E-3</v>
      </c>
      <c r="BW23" s="471">
        <f t="shared" si="57"/>
        <v>18.066065362853266</v>
      </c>
      <c r="BX23" s="178">
        <f t="shared" si="58"/>
        <v>0.11961792577166185</v>
      </c>
      <c r="BY23" s="5">
        <f t="shared" si="59"/>
        <v>1.2959999999999998</v>
      </c>
      <c r="BZ23" s="178">
        <f t="shared" si="60"/>
        <v>0.91550126372802365</v>
      </c>
      <c r="CA23" s="5">
        <f t="shared" si="61"/>
        <v>91.550126372802367</v>
      </c>
      <c r="CB23">
        <f t="shared" si="62"/>
        <v>17.999999999999996</v>
      </c>
      <c r="CD23" s="580">
        <f t="shared" si="44"/>
        <v>-50</v>
      </c>
      <c r="CE23">
        <f t="shared" si="45"/>
        <v>-50</v>
      </c>
    </row>
    <row r="24" spans="5:83" x14ac:dyDescent="0.2">
      <c r="E24" s="175">
        <v>19</v>
      </c>
      <c r="F24" s="222">
        <f t="shared" si="63"/>
        <v>7.6000000000000012E-2</v>
      </c>
      <c r="G24" s="222">
        <f t="shared" si="46"/>
        <v>3.8000000000000006E-2</v>
      </c>
      <c r="H24" s="222">
        <f t="shared" si="0"/>
        <v>0.91200000000000014</v>
      </c>
      <c r="I24" s="222">
        <f t="shared" si="64"/>
        <v>0.45600000000000007</v>
      </c>
      <c r="J24" s="558">
        <f t="shared" si="1"/>
        <v>24</v>
      </c>
      <c r="K24" s="453">
        <f t="shared" si="2"/>
        <v>24.5</v>
      </c>
      <c r="L24" s="453">
        <f t="shared" si="3"/>
        <v>48.5</v>
      </c>
      <c r="M24" s="453"/>
      <c r="N24" s="222">
        <f t="shared" si="4"/>
        <v>0.50515463917525771</v>
      </c>
      <c r="O24" s="177">
        <f t="shared" si="47"/>
        <v>5.5668041237113393</v>
      </c>
      <c r="P24" s="177">
        <f t="shared" si="5"/>
        <v>4.1751030927835044</v>
      </c>
      <c r="Q24" s="222">
        <f t="shared" si="6"/>
        <v>0.46390034364261162</v>
      </c>
      <c r="R24" s="222">
        <f t="shared" si="7"/>
        <v>0.46390034364261162</v>
      </c>
      <c r="S24" s="453">
        <f t="shared" si="8"/>
        <v>12</v>
      </c>
      <c r="T24" s="222">
        <f t="shared" si="9"/>
        <v>0.23755102040816337</v>
      </c>
      <c r="U24" s="222">
        <f t="shared" si="10"/>
        <v>0.83142857142857174</v>
      </c>
      <c r="V24" s="222">
        <f t="shared" si="11"/>
        <v>0.81446064139941732</v>
      </c>
      <c r="W24" s="202">
        <f t="shared" si="12"/>
        <v>350</v>
      </c>
      <c r="X24" s="453">
        <f t="shared" si="48"/>
        <v>350</v>
      </c>
      <c r="Z24" s="222">
        <f t="shared" si="13"/>
        <v>0.41237113402061859</v>
      </c>
      <c r="AA24" s="178">
        <f t="shared" si="14"/>
        <v>1.4138438880706923</v>
      </c>
      <c r="AB24" s="178">
        <f t="shared" si="15"/>
        <v>0.20405994260814117</v>
      </c>
      <c r="AC24" s="178"/>
      <c r="AD24" s="178">
        <f t="shared" si="16"/>
        <v>0.99428571428571422</v>
      </c>
      <c r="AE24" s="562">
        <f t="shared" si="17"/>
        <v>263.57510899722564</v>
      </c>
      <c r="AF24" s="545">
        <f t="shared" si="18"/>
        <v>0.10091999999999998</v>
      </c>
      <c r="AH24" s="178">
        <f t="shared" si="19"/>
        <v>0.30505937862946608</v>
      </c>
      <c r="AI24" s="178">
        <f t="shared" si="20"/>
        <v>0.30505937862946608</v>
      </c>
      <c r="AJ24" s="178">
        <f t="shared" si="21"/>
        <v>1.1506143479984146</v>
      </c>
      <c r="AL24" s="562">
        <f t="shared" si="22"/>
        <v>76.000000000000014</v>
      </c>
      <c r="AM24" s="471">
        <f t="shared" si="23"/>
        <v>263.57510899722564</v>
      </c>
      <c r="AO24">
        <f t="shared" si="49"/>
        <v>76.000000000000014</v>
      </c>
      <c r="AP24" s="471">
        <f t="shared" si="24"/>
        <v>263.57510899722564</v>
      </c>
      <c r="AQ24" s="471"/>
      <c r="AR24" s="5">
        <f t="shared" si="50"/>
        <v>3.7939849624060131</v>
      </c>
      <c r="AS24" s="5">
        <f t="shared" si="25"/>
        <v>1.0677078252031313</v>
      </c>
      <c r="AT24" s="5">
        <f t="shared" si="51"/>
        <v>2.7262771372028816</v>
      </c>
      <c r="AU24" s="178">
        <f t="shared" si="52"/>
        <v>0.28142120640510609</v>
      </c>
      <c r="AW24" s="5">
        <f t="shared" si="26"/>
        <v>0.67621495596198322</v>
      </c>
      <c r="AX24" s="5">
        <f t="shared" si="27"/>
        <v>0.33810747798099161</v>
      </c>
      <c r="AY24" s="5">
        <f t="shared" si="28"/>
        <v>9.0875904573429395E-2</v>
      </c>
      <c r="AZ24" s="5"/>
      <c r="BA24" s="178">
        <f t="shared" si="53"/>
        <v>9.3433402423784867E-2</v>
      </c>
      <c r="BB24" s="178">
        <f t="shared" si="29"/>
        <v>0.29860078683607244</v>
      </c>
      <c r="BC24" s="178">
        <f t="shared" si="30"/>
        <v>0.14930039341803622</v>
      </c>
      <c r="BD24" s="178"/>
      <c r="BE24" s="545">
        <f t="shared" si="31"/>
        <v>3.0554302409697247E-3</v>
      </c>
      <c r="BF24" s="545">
        <f t="shared" si="32"/>
        <v>2.9247703951387805E-2</v>
      </c>
      <c r="BG24" s="545">
        <f t="shared" si="33"/>
        <v>3.2946888624653206E-3</v>
      </c>
      <c r="BH24" s="545">
        <f t="shared" si="34"/>
        <v>3.0999727506936203E-2</v>
      </c>
      <c r="BI24">
        <f t="shared" si="35"/>
        <v>6.96E-3</v>
      </c>
      <c r="BJ24">
        <f t="shared" si="36"/>
        <v>7.3635508959505394E-2</v>
      </c>
      <c r="BK24" s="471">
        <f t="shared" si="54"/>
        <v>73.635508959505401</v>
      </c>
      <c r="BL24" s="178">
        <f t="shared" si="37"/>
        <v>2.2800000000000004E-2</v>
      </c>
      <c r="BM24" s="178">
        <f t="shared" si="38"/>
        <v>1.1400000000000002E-2</v>
      </c>
      <c r="BN24" s="545"/>
      <c r="BP24" s="471">
        <f t="shared" si="55"/>
        <v>34.20000000000001</v>
      </c>
      <c r="BQ24" s="545">
        <f t="shared" si="39"/>
        <v>8.2933106540606814E-4</v>
      </c>
      <c r="BR24" s="545">
        <f t="shared" si="56"/>
        <v>8.024618690920941E-3</v>
      </c>
      <c r="BS24" s="545">
        <f t="shared" si="40"/>
        <v>2.2290607474780393E-3</v>
      </c>
      <c r="BT24" s="545">
        <f t="shared" si="41"/>
        <v>2.8986244060814482E-3</v>
      </c>
      <c r="BU24" s="545">
        <f t="shared" si="42"/>
        <v>1.3994042599576241E-2</v>
      </c>
      <c r="BV24" s="655">
        <f t="shared" si="43"/>
        <v>5.5189400373704825E-3</v>
      </c>
      <c r="BW24" s="471">
        <f t="shared" si="57"/>
        <v>19.512982636946724</v>
      </c>
      <c r="BX24" s="178">
        <f t="shared" si="58"/>
        <v>0.12734849159645215</v>
      </c>
      <c r="BY24" s="5">
        <f t="shared" si="59"/>
        <v>1.3680000000000003</v>
      </c>
      <c r="BZ24" s="178">
        <f t="shared" si="60"/>
        <v>0.91483691439679493</v>
      </c>
      <c r="CA24" s="5">
        <f t="shared" si="61"/>
        <v>91.48369143967949</v>
      </c>
      <c r="CB24">
        <f t="shared" si="62"/>
        <v>19.000000000000004</v>
      </c>
      <c r="CD24" s="580">
        <f t="shared" si="44"/>
        <v>-50</v>
      </c>
      <c r="CE24">
        <f t="shared" si="45"/>
        <v>-50</v>
      </c>
    </row>
    <row r="25" spans="5:83" x14ac:dyDescent="0.2">
      <c r="E25" s="175">
        <v>20</v>
      </c>
      <c r="F25" s="222">
        <f t="shared" si="63"/>
        <v>8.0000000000000016E-2</v>
      </c>
      <c r="G25" s="222">
        <f t="shared" si="46"/>
        <v>4.0000000000000008E-2</v>
      </c>
      <c r="H25" s="222">
        <f t="shared" si="0"/>
        <v>0.96000000000000019</v>
      </c>
      <c r="I25" s="222">
        <f t="shared" si="64"/>
        <v>0.48000000000000009</v>
      </c>
      <c r="J25" s="558">
        <f t="shared" si="1"/>
        <v>24</v>
      </c>
      <c r="K25" s="453">
        <f t="shared" si="2"/>
        <v>24.5</v>
      </c>
      <c r="L25" s="453">
        <f t="shared" si="3"/>
        <v>48.5</v>
      </c>
      <c r="M25" s="453"/>
      <c r="N25" s="222">
        <f t="shared" si="4"/>
        <v>0.50515463917525771</v>
      </c>
      <c r="O25" s="177">
        <f t="shared" si="47"/>
        <v>5.5668041237113393</v>
      </c>
      <c r="P25" s="177">
        <f t="shared" si="5"/>
        <v>4.1751030927835044</v>
      </c>
      <c r="Q25" s="222">
        <f t="shared" si="6"/>
        <v>0.46390034364261162</v>
      </c>
      <c r="R25" s="222">
        <f t="shared" si="7"/>
        <v>0.46390034364261162</v>
      </c>
      <c r="S25" s="453">
        <f t="shared" si="8"/>
        <v>12</v>
      </c>
      <c r="T25" s="222">
        <f t="shared" si="9"/>
        <v>0.25005370569280355</v>
      </c>
      <c r="U25" s="222">
        <f t="shared" si="10"/>
        <v>0.87518796992481251</v>
      </c>
      <c r="V25" s="222">
        <f t="shared" si="11"/>
        <v>0.85732699094675513</v>
      </c>
      <c r="W25" s="202">
        <f t="shared" si="12"/>
        <v>350</v>
      </c>
      <c r="X25" s="453">
        <f t="shared" si="48"/>
        <v>350</v>
      </c>
      <c r="Z25" s="222">
        <f t="shared" si="13"/>
        <v>0.41237113402061859</v>
      </c>
      <c r="AA25" s="178">
        <f t="shared" si="14"/>
        <v>1.4138438880706923</v>
      </c>
      <c r="AB25" s="178">
        <f t="shared" si="15"/>
        <v>0.20405994260814117</v>
      </c>
      <c r="AC25" s="178"/>
      <c r="AD25" s="178">
        <f t="shared" si="16"/>
        <v>0.99428571428571422</v>
      </c>
      <c r="AE25" s="562">
        <f t="shared" si="17"/>
        <v>277.44748315497435</v>
      </c>
      <c r="AF25" s="545">
        <f t="shared" si="18"/>
        <v>0.10091999999999998</v>
      </c>
      <c r="AH25" s="178">
        <f t="shared" si="19"/>
        <v>0.31298431857438069</v>
      </c>
      <c r="AI25" s="178">
        <f t="shared" si="20"/>
        <v>0.31298431857438069</v>
      </c>
      <c r="AJ25" s="178">
        <f t="shared" si="21"/>
        <v>1.1585414189456995</v>
      </c>
      <c r="AL25" s="562">
        <f t="shared" si="22"/>
        <v>80.000000000000014</v>
      </c>
      <c r="AM25" s="471">
        <f t="shared" si="23"/>
        <v>277.44748315497435</v>
      </c>
      <c r="AO25">
        <f t="shared" si="49"/>
        <v>80.000000000000014</v>
      </c>
      <c r="AP25" s="471">
        <f t="shared" si="24"/>
        <v>277.44748315497435</v>
      </c>
      <c r="AQ25" s="471"/>
      <c r="AR25" s="5">
        <f t="shared" si="50"/>
        <v>3.6042857142857128</v>
      </c>
      <c r="AS25" s="5">
        <f t="shared" si="25"/>
        <v>1.0954451150103324</v>
      </c>
      <c r="AT25" s="5">
        <f t="shared" si="51"/>
        <v>2.5088405992753806</v>
      </c>
      <c r="AU25" s="178">
        <f t="shared" si="52"/>
        <v>0.30392849009402811</v>
      </c>
      <c r="AW25" s="5">
        <f t="shared" si="26"/>
        <v>0.73029674334022165</v>
      </c>
      <c r="AX25" s="5">
        <f t="shared" si="27"/>
        <v>0.36514837167011083</v>
      </c>
      <c r="AY25" s="5">
        <f t="shared" si="28"/>
        <v>8.8029494711416884E-2</v>
      </c>
      <c r="AZ25" s="5"/>
      <c r="BA25" s="178">
        <f t="shared" si="53"/>
        <v>9.962025695061745E-2</v>
      </c>
      <c r="BB25" s="178">
        <f t="shared" si="29"/>
        <v>0.30152191051121152</v>
      </c>
      <c r="BC25" s="178">
        <f t="shared" si="30"/>
        <v>0.15076095525560576</v>
      </c>
      <c r="BD25" s="178"/>
      <c r="BE25" s="545">
        <f t="shared" si="31"/>
        <v>3.4734684582174652E-3</v>
      </c>
      <c r="BF25" s="545">
        <f t="shared" si="32"/>
        <v>3.1586853791915066E-2</v>
      </c>
      <c r="BG25" s="545">
        <f t="shared" si="33"/>
        <v>3.4680935394371792E-3</v>
      </c>
      <c r="BH25" s="545">
        <f t="shared" si="34"/>
        <v>3.2631292112564422E-2</v>
      </c>
      <c r="BI25">
        <f t="shared" si="35"/>
        <v>6.96E-3</v>
      </c>
      <c r="BJ25">
        <f t="shared" si="36"/>
        <v>7.8213842706001749E-2</v>
      </c>
      <c r="BK25" s="471">
        <f t="shared" si="54"/>
        <v>78.213842706001742</v>
      </c>
      <c r="BL25" s="178">
        <f t="shared" si="37"/>
        <v>2.4000000000000004E-2</v>
      </c>
      <c r="BM25" s="178">
        <f t="shared" si="38"/>
        <v>1.2000000000000002E-2</v>
      </c>
      <c r="BN25" s="545"/>
      <c r="BP25" s="471">
        <f t="shared" si="55"/>
        <v>36.000000000000007</v>
      </c>
      <c r="BQ25" s="545">
        <f t="shared" si="39"/>
        <v>9.4279858151616921E-4</v>
      </c>
      <c r="BR25" s="545">
        <f t="shared" si="56"/>
        <v>8.1823916266497935E-3</v>
      </c>
      <c r="BS25" s="545">
        <f t="shared" si="40"/>
        <v>2.2728865629582764E-3</v>
      </c>
      <c r="BT25" s="545">
        <f t="shared" si="41"/>
        <v>3.5134066968347476E-3</v>
      </c>
      <c r="BU25" s="545">
        <f t="shared" si="42"/>
        <v>1.4925092856294361E-2</v>
      </c>
      <c r="BV25" s="655">
        <f t="shared" si="43"/>
        <v>6.1151690164769883E-3</v>
      </c>
      <c r="BW25" s="471">
        <f t="shared" si="57"/>
        <v>21.04026187277135</v>
      </c>
      <c r="BX25" s="178">
        <f t="shared" si="58"/>
        <v>0.1352541045787731</v>
      </c>
      <c r="BY25" s="5">
        <f t="shared" si="59"/>
        <v>1.4400000000000004</v>
      </c>
      <c r="BZ25" s="178">
        <f t="shared" si="60"/>
        <v>0.91413823066029054</v>
      </c>
      <c r="CA25" s="5">
        <f t="shared" si="61"/>
        <v>91.413823066029053</v>
      </c>
      <c r="CB25">
        <f t="shared" si="62"/>
        <v>20.000000000000004</v>
      </c>
      <c r="CD25" s="580">
        <f t="shared" si="44"/>
        <v>-50</v>
      </c>
      <c r="CE25">
        <f t="shared" si="45"/>
        <v>-50</v>
      </c>
    </row>
    <row r="26" spans="5:83" x14ac:dyDescent="0.2">
      <c r="E26" s="175">
        <v>21</v>
      </c>
      <c r="F26" s="222">
        <f t="shared" si="63"/>
        <v>8.4000000000000005E-2</v>
      </c>
      <c r="G26" s="222">
        <f t="shared" si="46"/>
        <v>4.2000000000000003E-2</v>
      </c>
      <c r="H26" s="222">
        <f t="shared" si="0"/>
        <v>1.008</v>
      </c>
      <c r="I26" s="222">
        <f t="shared" si="64"/>
        <v>0.504</v>
      </c>
      <c r="J26" s="558">
        <f t="shared" si="1"/>
        <v>24</v>
      </c>
      <c r="K26" s="453">
        <f t="shared" si="2"/>
        <v>24.5</v>
      </c>
      <c r="L26" s="453">
        <f t="shared" si="3"/>
        <v>48.5</v>
      </c>
      <c r="M26" s="453"/>
      <c r="N26" s="222">
        <f t="shared" si="4"/>
        <v>0.50515463917525771</v>
      </c>
      <c r="O26" s="177">
        <f t="shared" si="47"/>
        <v>5.5668041237113393</v>
      </c>
      <c r="P26" s="177">
        <f t="shared" si="5"/>
        <v>4.1751030927835044</v>
      </c>
      <c r="Q26" s="222">
        <f t="shared" si="6"/>
        <v>0.46390034364261162</v>
      </c>
      <c r="R26" s="222">
        <f t="shared" si="7"/>
        <v>0.46390034364261162</v>
      </c>
      <c r="S26" s="453">
        <f t="shared" si="8"/>
        <v>12</v>
      </c>
      <c r="T26" s="222">
        <f t="shared" si="9"/>
        <v>0.26255639097744365</v>
      </c>
      <c r="U26" s="222">
        <f t="shared" si="10"/>
        <v>0.91894736842105262</v>
      </c>
      <c r="V26" s="222">
        <f t="shared" si="11"/>
        <v>0.90019334049409239</v>
      </c>
      <c r="W26" s="202">
        <f t="shared" si="12"/>
        <v>350</v>
      </c>
      <c r="X26" s="453">
        <f t="shared" si="48"/>
        <v>350</v>
      </c>
      <c r="Z26" s="222">
        <f t="shared" si="13"/>
        <v>0.41237113402061859</v>
      </c>
      <c r="AA26" s="178">
        <f t="shared" si="14"/>
        <v>1.4138438880706923</v>
      </c>
      <c r="AB26" s="178">
        <f t="shared" si="15"/>
        <v>0.20405994260814117</v>
      </c>
      <c r="AC26" s="178"/>
      <c r="AD26" s="178">
        <f t="shared" si="16"/>
        <v>0.99428571428571422</v>
      </c>
      <c r="AE26" s="562">
        <f t="shared" si="17"/>
        <v>291.31985731272306</v>
      </c>
      <c r="AF26" s="545">
        <f t="shared" si="18"/>
        <v>0.10091999999999998</v>
      </c>
      <c r="AH26" s="178">
        <f t="shared" si="19"/>
        <v>0.32071349029490925</v>
      </c>
      <c r="AI26" s="178">
        <f t="shared" si="20"/>
        <v>0.32071349029490925</v>
      </c>
      <c r="AJ26" s="178">
        <f t="shared" si="21"/>
        <v>1.1664684898929847</v>
      </c>
      <c r="AL26" s="562">
        <f t="shared" si="22"/>
        <v>84</v>
      </c>
      <c r="AM26" s="471">
        <f t="shared" si="23"/>
        <v>291.31985731272306</v>
      </c>
      <c r="AO26">
        <f t="shared" si="49"/>
        <v>84</v>
      </c>
      <c r="AP26" s="471">
        <f t="shared" si="24"/>
        <v>291.31985731272306</v>
      </c>
      <c r="AQ26" s="471"/>
      <c r="AR26" s="5">
        <f t="shared" si="50"/>
        <v>3.4326530612244883</v>
      </c>
      <c r="AS26" s="5">
        <f t="shared" si="25"/>
        <v>1.1224972160321822</v>
      </c>
      <c r="AT26" s="5">
        <f t="shared" si="51"/>
        <v>2.3101558451923063</v>
      </c>
      <c r="AU26" s="178">
        <f t="shared" si="52"/>
        <v>0.32700572880842421</v>
      </c>
      <c r="AW26" s="5">
        <f t="shared" si="26"/>
        <v>0.78574805122252755</v>
      </c>
      <c r="AX26" s="5">
        <f t="shared" si="27"/>
        <v>0.39287402561126378</v>
      </c>
      <c r="AY26" s="5">
        <f t="shared" si="28"/>
        <v>8.5111004822874439E-2</v>
      </c>
      <c r="AZ26" s="5"/>
      <c r="BA26" s="178">
        <f t="shared" si="53"/>
        <v>0.10588496110268635</v>
      </c>
      <c r="BB26" s="178">
        <f t="shared" si="29"/>
        <v>0.30380315533579882</v>
      </c>
      <c r="BC26" s="178">
        <f t="shared" si="30"/>
        <v>0.15190157766789941</v>
      </c>
      <c r="BD26" s="178"/>
      <c r="BE26" s="545">
        <f t="shared" si="31"/>
        <v>3.9240687457010905E-3</v>
      </c>
      <c r="BF26" s="545">
        <f t="shared" si="32"/>
        <v>3.3985238244018376E-2</v>
      </c>
      <c r="BG26" s="545">
        <f t="shared" si="33"/>
        <v>3.6414982164090382E-3</v>
      </c>
      <c r="BH26" s="545">
        <f t="shared" si="34"/>
        <v>3.4262856718192645E-2</v>
      </c>
      <c r="BI26">
        <f t="shared" si="35"/>
        <v>6.96E-3</v>
      </c>
      <c r="BJ26">
        <f t="shared" si="36"/>
        <v>8.2886361666527908E-2</v>
      </c>
      <c r="BK26" s="471">
        <f t="shared" si="54"/>
        <v>82.886361666527904</v>
      </c>
      <c r="BL26" s="178">
        <f t="shared" si="37"/>
        <v>2.52E-2</v>
      </c>
      <c r="BM26" s="178">
        <f t="shared" si="38"/>
        <v>1.26E-2</v>
      </c>
      <c r="BN26" s="545"/>
      <c r="BP26" s="471">
        <f t="shared" si="55"/>
        <v>37.799999999999997</v>
      </c>
      <c r="BQ26" s="545">
        <f t="shared" si="39"/>
        <v>1.0651043738331531E-3</v>
      </c>
      <c r="BR26" s="545">
        <f t="shared" si="56"/>
        <v>8.3066721472788759E-3</v>
      </c>
      <c r="BS26" s="545">
        <f t="shared" si="40"/>
        <v>2.3074089297996877E-3</v>
      </c>
      <c r="BT26" s="545">
        <f t="shared" si="41"/>
        <v>4.218793772609245E-3</v>
      </c>
      <c r="BU26" s="545">
        <f t="shared" si="42"/>
        <v>1.5912847150955204E-2</v>
      </c>
      <c r="BV26" s="655">
        <f t="shared" si="43"/>
        <v>6.7419738406658773E-3</v>
      </c>
      <c r="BW26" s="471">
        <f t="shared" si="57"/>
        <v>22.654820991621083</v>
      </c>
      <c r="BX26" s="178">
        <f t="shared" si="58"/>
        <v>0.14334118265814899</v>
      </c>
      <c r="BY26" s="5">
        <f t="shared" si="59"/>
        <v>1.512</v>
      </c>
      <c r="BZ26" s="178">
        <f t="shared" si="60"/>
        <v>0.91340686490505141</v>
      </c>
      <c r="CA26" s="5">
        <f t="shared" si="61"/>
        <v>91.340686490505135</v>
      </c>
      <c r="CB26">
        <f t="shared" si="62"/>
        <v>21</v>
      </c>
      <c r="CD26" s="580">
        <f t="shared" si="44"/>
        <v>-50</v>
      </c>
      <c r="CE26">
        <f t="shared" si="45"/>
        <v>-50</v>
      </c>
    </row>
    <row r="27" spans="5:83" x14ac:dyDescent="0.2">
      <c r="E27" s="175">
        <v>22</v>
      </c>
      <c r="F27" s="222">
        <f t="shared" si="63"/>
        <v>8.8000000000000009E-2</v>
      </c>
      <c r="G27" s="222">
        <f t="shared" si="46"/>
        <v>4.4000000000000004E-2</v>
      </c>
      <c r="H27" s="222">
        <f t="shared" si="0"/>
        <v>1.056</v>
      </c>
      <c r="I27" s="222">
        <f t="shared" si="64"/>
        <v>0.52800000000000002</v>
      </c>
      <c r="J27" s="558">
        <f t="shared" si="1"/>
        <v>24</v>
      </c>
      <c r="K27" s="453">
        <f t="shared" si="2"/>
        <v>24.5</v>
      </c>
      <c r="L27" s="453">
        <f t="shared" si="3"/>
        <v>48.5</v>
      </c>
      <c r="M27" s="453"/>
      <c r="N27" s="222">
        <f t="shared" si="4"/>
        <v>0.50515463917525771</v>
      </c>
      <c r="O27" s="177">
        <f t="shared" si="47"/>
        <v>5.5668041237113393</v>
      </c>
      <c r="P27" s="177">
        <f t="shared" si="5"/>
        <v>4.1751030927835044</v>
      </c>
      <c r="Q27" s="222">
        <f t="shared" si="6"/>
        <v>0.46390034364261162</v>
      </c>
      <c r="R27" s="222">
        <f t="shared" si="7"/>
        <v>0.46390034364261162</v>
      </c>
      <c r="S27" s="453">
        <f t="shared" si="8"/>
        <v>12</v>
      </c>
      <c r="T27" s="222">
        <f t="shared" si="9"/>
        <v>0.27505907626208381</v>
      </c>
      <c r="U27" s="222">
        <f t="shared" si="10"/>
        <v>0.96270676691729318</v>
      </c>
      <c r="V27" s="222">
        <f t="shared" si="11"/>
        <v>0.94305969004143009</v>
      </c>
      <c r="W27" s="202">
        <f t="shared" si="12"/>
        <v>350</v>
      </c>
      <c r="X27" s="453">
        <f t="shared" si="48"/>
        <v>350</v>
      </c>
      <c r="Z27" s="222">
        <f t="shared" si="13"/>
        <v>0.41237113402061859</v>
      </c>
      <c r="AA27" s="178">
        <f t="shared" si="14"/>
        <v>1.4138438880706923</v>
      </c>
      <c r="AB27" s="178">
        <f t="shared" si="15"/>
        <v>0.20405994260814117</v>
      </c>
      <c r="AC27" s="178"/>
      <c r="AD27" s="178">
        <f t="shared" si="16"/>
        <v>0.99428571428571422</v>
      </c>
      <c r="AE27" s="562">
        <f t="shared" si="17"/>
        <v>305.19223147047177</v>
      </c>
      <c r="AF27" s="545">
        <f t="shared" si="18"/>
        <v>0.10091999999999998</v>
      </c>
      <c r="AH27" s="178">
        <f t="shared" si="19"/>
        <v>0.32826072265931594</v>
      </c>
      <c r="AI27" s="178">
        <f t="shared" si="20"/>
        <v>0.32826072265931594</v>
      </c>
      <c r="AJ27" s="178">
        <f t="shared" si="21"/>
        <v>1.1743955608402696</v>
      </c>
      <c r="AL27" s="562">
        <f t="shared" si="22"/>
        <v>88.000000000000014</v>
      </c>
      <c r="AM27" s="471">
        <f t="shared" si="23"/>
        <v>305.19223147047177</v>
      </c>
      <c r="AO27">
        <f t="shared" si="49"/>
        <v>88.000000000000014</v>
      </c>
      <c r="AP27" s="471">
        <f t="shared" si="24"/>
        <v>305.19223147047177</v>
      </c>
      <c r="AQ27" s="471"/>
      <c r="AR27" s="5">
        <f t="shared" si="50"/>
        <v>3.2766233766233754</v>
      </c>
      <c r="AS27" s="5">
        <f t="shared" si="25"/>
        <v>1.1489125293076057</v>
      </c>
      <c r="AT27" s="5">
        <f t="shared" si="51"/>
        <v>2.12771084731577</v>
      </c>
      <c r="AU27" s="178">
        <f t="shared" si="52"/>
        <v>0.35063917858377197</v>
      </c>
      <c r="AW27" s="5">
        <f t="shared" si="26"/>
        <v>0.84253585482557758</v>
      </c>
      <c r="AX27" s="5">
        <f t="shared" si="27"/>
        <v>0.42126792741278879</v>
      </c>
      <c r="AY27" s="5">
        <f t="shared" si="28"/>
        <v>8.2122173054292882E-2</v>
      </c>
      <c r="AZ27" s="5"/>
      <c r="BA27" s="178">
        <f t="shared" si="53"/>
        <v>0.11222471573856087</v>
      </c>
      <c r="BB27" s="178">
        <f t="shared" si="29"/>
        <v>0.30544381168612988</v>
      </c>
      <c r="BC27" s="178">
        <f t="shared" si="30"/>
        <v>0.15272190584306494</v>
      </c>
      <c r="BD27" s="178"/>
      <c r="BE27" s="545">
        <f t="shared" si="31"/>
        <v>4.4080353879102771E-3</v>
      </c>
      <c r="BF27" s="545">
        <f t="shared" si="32"/>
        <v>3.6441428917099158E-2</v>
      </c>
      <c r="BG27" s="545">
        <f t="shared" si="33"/>
        <v>3.8149028933808973E-3</v>
      </c>
      <c r="BH27" s="545">
        <f t="shared" si="34"/>
        <v>3.5894421323820862E-2</v>
      </c>
      <c r="BI27">
        <f t="shared" si="35"/>
        <v>6.96E-3</v>
      </c>
      <c r="BJ27">
        <f t="shared" si="36"/>
        <v>8.765266782756552E-2</v>
      </c>
      <c r="BK27" s="471">
        <f t="shared" si="54"/>
        <v>87.652667827565523</v>
      </c>
      <c r="BL27" s="178">
        <f t="shared" si="37"/>
        <v>2.6400000000000003E-2</v>
      </c>
      <c r="BM27" s="178">
        <f t="shared" si="38"/>
        <v>1.3200000000000002E-2</v>
      </c>
      <c r="BN27" s="545"/>
      <c r="BP27" s="471">
        <f t="shared" si="55"/>
        <v>39.6</v>
      </c>
      <c r="BQ27" s="545">
        <f t="shared" si="39"/>
        <v>1.1964667481470753E-3</v>
      </c>
      <c r="BR27" s="545">
        <f t="shared" si="56"/>
        <v>8.3966329887616778E-3</v>
      </c>
      <c r="BS27" s="545">
        <f t="shared" si="40"/>
        <v>2.3323980524337993E-3</v>
      </c>
      <c r="BT27" s="545">
        <f t="shared" si="41"/>
        <v>5.0228590826028882E-3</v>
      </c>
      <c r="BU27" s="545">
        <f t="shared" si="42"/>
        <v>1.6964541720328082E-2</v>
      </c>
      <c r="BV27" s="655">
        <f t="shared" si="43"/>
        <v>7.3993545099371536E-3</v>
      </c>
      <c r="BW27" s="471">
        <f t="shared" si="57"/>
        <v>24.363896230265233</v>
      </c>
      <c r="BX27" s="178">
        <f t="shared" si="58"/>
        <v>0.15161656405783075</v>
      </c>
      <c r="BY27" s="5">
        <f t="shared" si="59"/>
        <v>1.5840000000000001</v>
      </c>
      <c r="BZ27" s="178">
        <f t="shared" si="60"/>
        <v>0.91264397494377736</v>
      </c>
      <c r="CA27" s="5">
        <f t="shared" si="61"/>
        <v>91.264397494377732</v>
      </c>
      <c r="CB27">
        <f t="shared" si="62"/>
        <v>22</v>
      </c>
      <c r="CD27" s="580">
        <f t="shared" si="44"/>
        <v>-50</v>
      </c>
      <c r="CE27">
        <f t="shared" si="45"/>
        <v>-50</v>
      </c>
    </row>
    <row r="28" spans="5:83" x14ac:dyDescent="0.2">
      <c r="E28" s="175">
        <v>23</v>
      </c>
      <c r="F28" s="222">
        <f t="shared" si="63"/>
        <v>9.2000000000000012E-2</v>
      </c>
      <c r="G28" s="222">
        <f t="shared" si="46"/>
        <v>4.6000000000000006E-2</v>
      </c>
      <c r="H28" s="222">
        <f t="shared" si="0"/>
        <v>1.1040000000000001</v>
      </c>
      <c r="I28" s="222">
        <f t="shared" si="64"/>
        <v>0.55200000000000005</v>
      </c>
      <c r="J28" s="558">
        <f t="shared" si="1"/>
        <v>24</v>
      </c>
      <c r="K28" s="453">
        <f t="shared" si="2"/>
        <v>24.5</v>
      </c>
      <c r="L28" s="453">
        <f t="shared" si="3"/>
        <v>48.5</v>
      </c>
      <c r="M28" s="453"/>
      <c r="N28" s="222">
        <f t="shared" si="4"/>
        <v>0.50515463917525771</v>
      </c>
      <c r="O28" s="177">
        <f t="shared" si="47"/>
        <v>5.5668041237113393</v>
      </c>
      <c r="P28" s="177">
        <f t="shared" si="5"/>
        <v>4.1751030927835044</v>
      </c>
      <c r="Q28" s="222">
        <f t="shared" si="6"/>
        <v>0.46390034364261162</v>
      </c>
      <c r="R28" s="222">
        <f t="shared" si="7"/>
        <v>0.46390034364261162</v>
      </c>
      <c r="S28" s="453">
        <f t="shared" si="8"/>
        <v>12</v>
      </c>
      <c r="T28" s="222">
        <f t="shared" si="9"/>
        <v>0.28756176154672403</v>
      </c>
      <c r="U28" s="222">
        <f t="shared" si="10"/>
        <v>1.0064661654135341</v>
      </c>
      <c r="V28" s="222">
        <f t="shared" si="11"/>
        <v>0.98592603958876801</v>
      </c>
      <c r="W28" s="202">
        <f t="shared" si="12"/>
        <v>350</v>
      </c>
      <c r="X28" s="453">
        <f t="shared" si="48"/>
        <v>350</v>
      </c>
      <c r="Z28" s="222">
        <f t="shared" si="13"/>
        <v>0.41237113402061859</v>
      </c>
      <c r="AA28" s="178">
        <f t="shared" si="14"/>
        <v>1.4138438880706923</v>
      </c>
      <c r="AB28" s="178">
        <f t="shared" si="15"/>
        <v>0.20405994260814117</v>
      </c>
      <c r="AC28" s="178"/>
      <c r="AD28" s="178">
        <f t="shared" si="16"/>
        <v>0.99428571428571422</v>
      </c>
      <c r="AE28" s="562">
        <f t="shared" si="17"/>
        <v>319.06460562822048</v>
      </c>
      <c r="AF28" s="545">
        <f t="shared" si="18"/>
        <v>0.10091999999999998</v>
      </c>
      <c r="AH28" s="178">
        <f t="shared" si="19"/>
        <v>0.3356382892705923</v>
      </c>
      <c r="AI28" s="178">
        <f t="shared" si="20"/>
        <v>0.3356382892705923</v>
      </c>
      <c r="AJ28" s="178">
        <f t="shared" si="21"/>
        <v>1.1823226317875546</v>
      </c>
      <c r="AL28" s="562">
        <f t="shared" si="22"/>
        <v>92.000000000000014</v>
      </c>
      <c r="AM28" s="471">
        <f t="shared" si="23"/>
        <v>319.06460562822048</v>
      </c>
      <c r="AO28">
        <f t="shared" si="49"/>
        <v>92.000000000000014</v>
      </c>
      <c r="AP28" s="471">
        <f t="shared" si="24"/>
        <v>319.06460562822048</v>
      </c>
      <c r="AQ28" s="471"/>
      <c r="AR28" s="5">
        <f t="shared" si="50"/>
        <v>3.1341614906832289</v>
      </c>
      <c r="AS28" s="5">
        <f t="shared" si="25"/>
        <v>1.1747340124470729</v>
      </c>
      <c r="AT28" s="5">
        <f t="shared" si="51"/>
        <v>1.959427478236156</v>
      </c>
      <c r="AU28" s="178">
        <f t="shared" si="52"/>
        <v>0.37481604439948235</v>
      </c>
      <c r="AW28" s="5">
        <f t="shared" si="26"/>
        <v>0.90062940954275594</v>
      </c>
      <c r="AX28" s="5">
        <f t="shared" si="27"/>
        <v>0.45031470477137797</v>
      </c>
      <c r="AY28" s="5">
        <f t="shared" si="28"/>
        <v>7.9064617542862439E-2</v>
      </c>
      <c r="AZ28" s="5"/>
      <c r="BA28" s="178">
        <f t="shared" si="53"/>
        <v>0.11863694590030541</v>
      </c>
      <c r="BB28" s="178">
        <f t="shared" si="29"/>
        <v>0.30643952405400499</v>
      </c>
      <c r="BC28" s="178">
        <f t="shared" si="30"/>
        <v>0.15321976202700249</v>
      </c>
      <c r="BD28" s="178"/>
      <c r="BE28" s="545">
        <f t="shared" si="31"/>
        <v>4.9261537263931973E-3</v>
      </c>
      <c r="BF28" s="545">
        <f t="shared" si="32"/>
        <v>3.8954096042946203E-2</v>
      </c>
      <c r="BG28" s="545">
        <f t="shared" si="33"/>
        <v>3.9883075703527563E-3</v>
      </c>
      <c r="BH28" s="545">
        <f t="shared" si="34"/>
        <v>3.7525985929449085E-2</v>
      </c>
      <c r="BI28">
        <f t="shared" si="35"/>
        <v>6.96E-3</v>
      </c>
      <c r="BJ28">
        <f t="shared" si="36"/>
        <v>9.2512453911498593E-2</v>
      </c>
      <c r="BK28" s="471">
        <f t="shared" si="54"/>
        <v>92.512453911498596</v>
      </c>
      <c r="BL28" s="178">
        <f t="shared" si="37"/>
        <v>2.7600000000000003E-2</v>
      </c>
      <c r="BM28" s="178">
        <f t="shared" si="38"/>
        <v>1.3800000000000002E-2</v>
      </c>
      <c r="BN28" s="545"/>
      <c r="BP28" s="471">
        <f t="shared" si="55"/>
        <v>41.400000000000006</v>
      </c>
      <c r="BQ28" s="545">
        <f t="shared" si="39"/>
        <v>1.3370988685924394E-3</v>
      </c>
      <c r="BR28" s="545">
        <f t="shared" si="56"/>
        <v>8.4514663712200577E-3</v>
      </c>
      <c r="BS28" s="545">
        <f t="shared" si="40"/>
        <v>2.3476295475611275E-3</v>
      </c>
      <c r="BT28" s="545">
        <f t="shared" si="41"/>
        <v>5.9339697231318199E-3</v>
      </c>
      <c r="BU28" s="545">
        <f t="shared" si="42"/>
        <v>1.8087725803594485E-2</v>
      </c>
      <c r="BV28" s="655">
        <f t="shared" si="43"/>
        <v>8.087311024290814E-3</v>
      </c>
      <c r="BW28" s="471">
        <f t="shared" si="57"/>
        <v>26.1750368278853</v>
      </c>
      <c r="BX28" s="178">
        <f t="shared" si="58"/>
        <v>0.16008749073938389</v>
      </c>
      <c r="BY28" s="5">
        <f t="shared" si="59"/>
        <v>1.6560000000000001</v>
      </c>
      <c r="BZ28" s="178">
        <f t="shared" si="60"/>
        <v>0.91185034225735051</v>
      </c>
      <c r="CA28" s="5">
        <f t="shared" si="61"/>
        <v>91.185034225735052</v>
      </c>
      <c r="CB28">
        <f t="shared" si="62"/>
        <v>23</v>
      </c>
      <c r="CD28" s="580">
        <f t="shared" si="44"/>
        <v>-50</v>
      </c>
      <c r="CE28">
        <f t="shared" si="45"/>
        <v>-50</v>
      </c>
    </row>
    <row r="29" spans="5:83" x14ac:dyDescent="0.2">
      <c r="E29" s="175">
        <v>24</v>
      </c>
      <c r="F29" s="222">
        <f t="shared" si="63"/>
        <v>9.6000000000000002E-2</v>
      </c>
      <c r="G29" s="222">
        <f t="shared" si="46"/>
        <v>4.8000000000000001E-2</v>
      </c>
      <c r="H29" s="222">
        <f t="shared" si="0"/>
        <v>1.1520000000000001</v>
      </c>
      <c r="I29" s="222">
        <f t="shared" si="64"/>
        <v>0.57600000000000007</v>
      </c>
      <c r="J29" s="558">
        <f t="shared" si="1"/>
        <v>24</v>
      </c>
      <c r="K29" s="453">
        <f t="shared" si="2"/>
        <v>24.5</v>
      </c>
      <c r="L29" s="453">
        <f t="shared" si="3"/>
        <v>48.5</v>
      </c>
      <c r="M29" s="453"/>
      <c r="N29" s="222">
        <f t="shared" si="4"/>
        <v>0.50515463917525771</v>
      </c>
      <c r="O29" s="177">
        <f t="shared" si="47"/>
        <v>5.5668041237113393</v>
      </c>
      <c r="P29" s="177">
        <f t="shared" si="5"/>
        <v>4.1751030927835044</v>
      </c>
      <c r="Q29" s="222">
        <f t="shared" si="6"/>
        <v>0.46390034364261162</v>
      </c>
      <c r="R29" s="222">
        <f t="shared" si="7"/>
        <v>0.46390034364261162</v>
      </c>
      <c r="S29" s="453">
        <f t="shared" si="8"/>
        <v>12</v>
      </c>
      <c r="T29" s="222">
        <f t="shared" si="9"/>
        <v>0.30006444683136418</v>
      </c>
      <c r="U29" s="222">
        <f t="shared" si="10"/>
        <v>1.0502255639097746</v>
      </c>
      <c r="V29" s="222">
        <f t="shared" si="11"/>
        <v>1.0287923891361057</v>
      </c>
      <c r="W29" s="202">
        <f t="shared" si="12"/>
        <v>350</v>
      </c>
      <c r="X29" s="453">
        <f t="shared" si="48"/>
        <v>350</v>
      </c>
      <c r="Z29" s="222">
        <f t="shared" si="13"/>
        <v>0.41237113402061859</v>
      </c>
      <c r="AA29" s="178">
        <f t="shared" si="14"/>
        <v>1.4138438880706923</v>
      </c>
      <c r="AB29" s="178">
        <f t="shared" si="15"/>
        <v>0.20405994260814117</v>
      </c>
      <c r="AC29" s="178"/>
      <c r="AD29" s="178">
        <f t="shared" si="16"/>
        <v>0.99428571428571422</v>
      </c>
      <c r="AE29" s="562">
        <f t="shared" si="17"/>
        <v>332.93697978596919</v>
      </c>
      <c r="AF29" s="545">
        <f t="shared" si="18"/>
        <v>0.10091999999999998</v>
      </c>
      <c r="AH29" s="178">
        <f t="shared" si="19"/>
        <v>0.34285714285714292</v>
      </c>
      <c r="AI29" s="178">
        <f t="shared" si="20"/>
        <v>0.34285714285714292</v>
      </c>
      <c r="AJ29" s="178">
        <f t="shared" si="21"/>
        <v>1.1902497027348395</v>
      </c>
      <c r="AL29" s="562">
        <f t="shared" si="22"/>
        <v>96</v>
      </c>
      <c r="AM29" s="471">
        <f t="shared" si="23"/>
        <v>332.93697978596919</v>
      </c>
      <c r="AO29">
        <f t="shared" si="49"/>
        <v>96</v>
      </c>
      <c r="AP29" s="471">
        <f t="shared" si="24"/>
        <v>332.93697978596919</v>
      </c>
      <c r="AQ29" s="471"/>
      <c r="AR29" s="5">
        <f t="shared" si="50"/>
        <v>3.0035714285714277</v>
      </c>
      <c r="AS29" s="5">
        <f t="shared" si="25"/>
        <v>1.2000000000000002</v>
      </c>
      <c r="AT29" s="5">
        <f t="shared" si="51"/>
        <v>1.8035714285714275</v>
      </c>
      <c r="AU29" s="178">
        <f t="shared" si="52"/>
        <v>0.39952437574316307</v>
      </c>
      <c r="AW29" s="5">
        <f t="shared" si="26"/>
        <v>0.96000000000000019</v>
      </c>
      <c r="AX29" s="5">
        <f t="shared" si="27"/>
        <v>0.48000000000000009</v>
      </c>
      <c r="AY29" s="5">
        <f t="shared" si="28"/>
        <v>7.5939849624060113E-2</v>
      </c>
      <c r="AZ29" s="5"/>
      <c r="BA29" s="178">
        <f t="shared" si="53"/>
        <v>0.12511927382374421</v>
      </c>
      <c r="BB29" s="178">
        <f t="shared" si="29"/>
        <v>0.30678227319847984</v>
      </c>
      <c r="BC29" s="178">
        <f t="shared" si="30"/>
        <v>0.15339113659923992</v>
      </c>
      <c r="BD29" s="178"/>
      <c r="BE29" s="545">
        <f t="shared" si="31"/>
        <v>5.4791914387633785E-3</v>
      </c>
      <c r="BF29" s="545">
        <f t="shared" si="32"/>
        <v>4.1521997621878727E-2</v>
      </c>
      <c r="BG29" s="545">
        <f t="shared" si="33"/>
        <v>4.1617122473246145E-3</v>
      </c>
      <c r="BH29" s="545">
        <f t="shared" si="34"/>
        <v>3.9157550535077301E-2</v>
      </c>
      <c r="BI29">
        <f t="shared" si="35"/>
        <v>6.96E-3</v>
      </c>
      <c r="BJ29">
        <f t="shared" si="36"/>
        <v>9.7465493965732786E-2</v>
      </c>
      <c r="BK29" s="471">
        <f t="shared" si="54"/>
        <v>97.46549396573279</v>
      </c>
      <c r="BL29" s="178">
        <f t="shared" si="37"/>
        <v>2.8799999999999999E-2</v>
      </c>
      <c r="BM29" s="178">
        <f t="shared" si="38"/>
        <v>1.44E-2</v>
      </c>
      <c r="BN29" s="545"/>
      <c r="BP29" s="471">
        <f t="shared" si="55"/>
        <v>43.2</v>
      </c>
      <c r="BQ29" s="545">
        <f t="shared" si="39"/>
        <v>1.4872091048072028E-3</v>
      </c>
      <c r="BR29" s="545">
        <f t="shared" si="56"/>
        <v>8.4703826833944038E-3</v>
      </c>
      <c r="BS29" s="545">
        <f t="shared" si="40"/>
        <v>2.3528840787206684E-3</v>
      </c>
      <c r="BT29" s="545">
        <f t="shared" si="41"/>
        <v>6.9607830392432145E-3</v>
      </c>
      <c r="BU29" s="545">
        <f t="shared" si="42"/>
        <v>1.9290256685316795E-2</v>
      </c>
      <c r="BV29" s="655">
        <f t="shared" si="43"/>
        <v>8.8058433837268617E-3</v>
      </c>
      <c r="BW29" s="471">
        <f t="shared" si="57"/>
        <v>28.096100069043658</v>
      </c>
      <c r="BX29" s="178">
        <f t="shared" si="58"/>
        <v>0.16876159403477642</v>
      </c>
      <c r="BY29" s="5">
        <f t="shared" si="59"/>
        <v>1.7280000000000002</v>
      </c>
      <c r="BZ29" s="178">
        <f t="shared" si="60"/>
        <v>0.91102645974827645</v>
      </c>
      <c r="CA29" s="5">
        <f t="shared" si="61"/>
        <v>91.102645974827652</v>
      </c>
      <c r="CB29">
        <f t="shared" si="62"/>
        <v>24</v>
      </c>
      <c r="CD29" s="580">
        <f t="shared" si="44"/>
        <v>-50</v>
      </c>
      <c r="CE29">
        <f t="shared" si="45"/>
        <v>-50</v>
      </c>
    </row>
    <row r="30" spans="5:83" x14ac:dyDescent="0.2">
      <c r="E30" s="175">
        <v>25</v>
      </c>
      <c r="F30" s="222">
        <f t="shared" si="63"/>
        <v>0.1</v>
      </c>
      <c r="G30" s="222">
        <f t="shared" si="46"/>
        <v>0.05</v>
      </c>
      <c r="H30" s="222">
        <f t="shared" si="0"/>
        <v>1.2000000000000002</v>
      </c>
      <c r="I30" s="222">
        <f t="shared" si="64"/>
        <v>0.60000000000000009</v>
      </c>
      <c r="J30" s="558">
        <f t="shared" si="1"/>
        <v>24</v>
      </c>
      <c r="K30" s="453">
        <f t="shared" si="2"/>
        <v>24.5</v>
      </c>
      <c r="L30" s="453">
        <f t="shared" si="3"/>
        <v>48.5</v>
      </c>
      <c r="M30" s="453"/>
      <c r="N30" s="222">
        <f t="shared" si="4"/>
        <v>0.50515463917525771</v>
      </c>
      <c r="O30" s="177">
        <f t="shared" si="47"/>
        <v>5.5668041237113393</v>
      </c>
      <c r="P30" s="177">
        <f t="shared" si="5"/>
        <v>4.1751030927835044</v>
      </c>
      <c r="Q30" s="222">
        <f t="shared" si="6"/>
        <v>0.46390034364261162</v>
      </c>
      <c r="R30" s="222">
        <f t="shared" si="7"/>
        <v>0.46390034364261162</v>
      </c>
      <c r="S30" s="453">
        <f t="shared" si="8"/>
        <v>12</v>
      </c>
      <c r="T30" s="222">
        <f t="shared" si="9"/>
        <v>0.3125671321160044</v>
      </c>
      <c r="U30" s="222">
        <f t="shared" si="10"/>
        <v>1.0939849624060154</v>
      </c>
      <c r="V30" s="222">
        <f t="shared" si="11"/>
        <v>1.0716587386834437</v>
      </c>
      <c r="W30" s="202">
        <f t="shared" si="12"/>
        <v>350</v>
      </c>
      <c r="X30" s="453">
        <f t="shared" si="48"/>
        <v>350</v>
      </c>
      <c r="Z30" s="222">
        <f t="shared" si="13"/>
        <v>0.41237113402061859</v>
      </c>
      <c r="AA30" s="178">
        <f t="shared" si="14"/>
        <v>1.4138438880706923</v>
      </c>
      <c r="AB30" s="178">
        <f t="shared" si="15"/>
        <v>0.20405994260814117</v>
      </c>
      <c r="AC30" s="178"/>
      <c r="AD30" s="178">
        <f t="shared" si="16"/>
        <v>0.99428571428571422</v>
      </c>
      <c r="AE30" s="562">
        <f t="shared" si="17"/>
        <v>346.80935394371789</v>
      </c>
      <c r="AF30" s="545">
        <f t="shared" si="18"/>
        <v>0.10091999999999998</v>
      </c>
      <c r="AH30" s="178">
        <f t="shared" si="19"/>
        <v>0.3499271061118826</v>
      </c>
      <c r="AI30" s="178">
        <f t="shared" si="20"/>
        <v>0.3499271061118826</v>
      </c>
      <c r="AJ30" s="178">
        <f t="shared" si="21"/>
        <v>1.1981767736821245</v>
      </c>
      <c r="AL30" s="562">
        <f t="shared" si="22"/>
        <v>100</v>
      </c>
      <c r="AM30" s="471">
        <f t="shared" si="23"/>
        <v>346.80935394371789</v>
      </c>
      <c r="AO30">
        <f t="shared" si="49"/>
        <v>100</v>
      </c>
      <c r="AP30" s="471">
        <f t="shared" si="24"/>
        <v>346.80935394371789</v>
      </c>
      <c r="AQ30" s="471"/>
      <c r="AR30" s="5">
        <f t="shared" si="50"/>
        <v>2.8834285714285706</v>
      </c>
      <c r="AS30" s="5">
        <f t="shared" si="25"/>
        <v>1.2247448713915889</v>
      </c>
      <c r="AT30" s="5">
        <f t="shared" si="51"/>
        <v>1.6586837000369816</v>
      </c>
      <c r="AU30" s="178">
        <f t="shared" si="52"/>
        <v>0.42475297759319885</v>
      </c>
      <c r="AW30" s="5">
        <f t="shared" si="26"/>
        <v>1.0206207261596574</v>
      </c>
      <c r="AX30" s="5">
        <f t="shared" si="27"/>
        <v>0.51031036307982869</v>
      </c>
      <c r="AY30" s="5">
        <f t="shared" si="28"/>
        <v>7.2749285089341295E-2</v>
      </c>
      <c r="AZ30" s="5"/>
      <c r="BA30" s="178">
        <f t="shared" si="53"/>
        <v>0.13166949619518498</v>
      </c>
      <c r="BB30" s="178">
        <f t="shared" si="29"/>
        <v>0.30646024409256362</v>
      </c>
      <c r="BC30" s="178">
        <f t="shared" si="30"/>
        <v>0.15323012204628181</v>
      </c>
      <c r="BD30" s="178"/>
      <c r="BE30" s="545">
        <f t="shared" si="31"/>
        <v>6.0678996799028396E-3</v>
      </c>
      <c r="BF30" s="545">
        <f t="shared" si="32"/>
        <v>4.4143970171293165E-2</v>
      </c>
      <c r="BG30" s="545">
        <f t="shared" si="33"/>
        <v>4.3351169242964735E-3</v>
      </c>
      <c r="BH30" s="545">
        <f t="shared" si="34"/>
        <v>4.0789115140705524E-2</v>
      </c>
      <c r="BI30">
        <f t="shared" si="35"/>
        <v>6.96E-3</v>
      </c>
      <c r="BJ30">
        <f t="shared" si="36"/>
        <v>0.10251163542199604</v>
      </c>
      <c r="BK30" s="471">
        <f t="shared" si="54"/>
        <v>102.51163542199603</v>
      </c>
      <c r="BL30" s="178">
        <f t="shared" si="37"/>
        <v>0.03</v>
      </c>
      <c r="BM30" s="178">
        <f t="shared" si="38"/>
        <v>1.4999999999999999E-2</v>
      </c>
      <c r="BN30" s="545"/>
      <c r="BP30" s="471">
        <f t="shared" si="55"/>
        <v>45</v>
      </c>
      <c r="BQ30" s="545">
        <f t="shared" si="39"/>
        <v>1.6470013416879138E-3</v>
      </c>
      <c r="BR30" s="545">
        <f t="shared" si="56"/>
        <v>8.4526093088346313E-3</v>
      </c>
      <c r="BS30" s="545">
        <f t="shared" si="40"/>
        <v>2.3479470302318422E-3</v>
      </c>
      <c r="BT30" s="545">
        <f t="shared" si="41"/>
        <v>8.1122434144214467E-3</v>
      </c>
      <c r="BU30" s="545">
        <f t="shared" si="42"/>
        <v>2.058029504795154E-2</v>
      </c>
      <c r="BV30" s="655">
        <f t="shared" si="43"/>
        <v>9.55495158824529E-3</v>
      </c>
      <c r="BW30" s="471">
        <f t="shared" si="57"/>
        <v>30.135246636196829</v>
      </c>
      <c r="BX30" s="178">
        <f t="shared" si="58"/>
        <v>0.17764688205819285</v>
      </c>
      <c r="BY30" s="5">
        <f t="shared" si="59"/>
        <v>1.8000000000000003</v>
      </c>
      <c r="BZ30" s="178">
        <f t="shared" si="60"/>
        <v>0.91017259771202896</v>
      </c>
      <c r="CA30" s="5">
        <f t="shared" si="61"/>
        <v>91.017259771202902</v>
      </c>
      <c r="CB30">
        <f t="shared" si="62"/>
        <v>25</v>
      </c>
      <c r="CD30" s="580">
        <f t="shared" si="44"/>
        <v>-50</v>
      </c>
      <c r="CE30">
        <f t="shared" si="45"/>
        <v>-50</v>
      </c>
    </row>
    <row r="31" spans="5:83" x14ac:dyDescent="0.2">
      <c r="E31" s="175">
        <v>26</v>
      </c>
      <c r="F31" s="222">
        <f t="shared" si="63"/>
        <v>0.10400000000000001</v>
      </c>
      <c r="G31" s="222">
        <f t="shared" si="46"/>
        <v>5.2000000000000005E-2</v>
      </c>
      <c r="H31" s="222">
        <f t="shared" si="0"/>
        <v>1.2480000000000002</v>
      </c>
      <c r="I31" s="222">
        <f t="shared" si="64"/>
        <v>0.62400000000000011</v>
      </c>
      <c r="J31" s="558">
        <f t="shared" si="1"/>
        <v>24</v>
      </c>
      <c r="K31" s="453">
        <f t="shared" si="2"/>
        <v>24.5</v>
      </c>
      <c r="L31" s="453">
        <f t="shared" si="3"/>
        <v>48.5</v>
      </c>
      <c r="M31" s="453"/>
      <c r="N31" s="222">
        <f t="shared" si="4"/>
        <v>0.50515463917525771</v>
      </c>
      <c r="O31" s="177">
        <f t="shared" si="47"/>
        <v>5.5668041237113393</v>
      </c>
      <c r="P31" s="177">
        <f t="shared" si="5"/>
        <v>4.1751030927835044</v>
      </c>
      <c r="Q31" s="222">
        <f t="shared" si="6"/>
        <v>0.46390034364261162</v>
      </c>
      <c r="R31" s="222">
        <f t="shared" si="7"/>
        <v>0.46390034364261162</v>
      </c>
      <c r="S31" s="453">
        <f t="shared" si="8"/>
        <v>12</v>
      </c>
      <c r="T31" s="222">
        <f t="shared" si="9"/>
        <v>0.32506981740064456</v>
      </c>
      <c r="U31" s="222">
        <f t="shared" si="10"/>
        <v>1.1377443609022559</v>
      </c>
      <c r="V31" s="222">
        <f t="shared" si="11"/>
        <v>1.1145250882307813</v>
      </c>
      <c r="W31" s="202">
        <f t="shared" si="12"/>
        <v>350</v>
      </c>
      <c r="X31" s="453">
        <f t="shared" si="48"/>
        <v>350</v>
      </c>
      <c r="Z31" s="222">
        <f t="shared" si="13"/>
        <v>0.41237113402061859</v>
      </c>
      <c r="AA31" s="178">
        <f t="shared" si="14"/>
        <v>1.4138438880706923</v>
      </c>
      <c r="AB31" s="178">
        <f t="shared" si="15"/>
        <v>0.20405994260814117</v>
      </c>
      <c r="AC31" s="178"/>
      <c r="AD31" s="178">
        <f t="shared" si="16"/>
        <v>0.99428571428571422</v>
      </c>
      <c r="AE31" s="562">
        <f t="shared" si="17"/>
        <v>360.6817281014666</v>
      </c>
      <c r="AF31" s="545">
        <f t="shared" si="18"/>
        <v>0.10091999999999998</v>
      </c>
      <c r="AH31" s="178">
        <f t="shared" si="19"/>
        <v>0.35685702847990852</v>
      </c>
      <c r="AI31" s="178">
        <f t="shared" si="20"/>
        <v>0.35685702847990852</v>
      </c>
      <c r="AJ31" s="178">
        <f t="shared" si="21"/>
        <v>1.2495237247999322</v>
      </c>
      <c r="AL31" s="562">
        <f t="shared" si="22"/>
        <v>104.00000000000001</v>
      </c>
      <c r="AM31" s="471">
        <f t="shared" si="23"/>
        <v>350</v>
      </c>
      <c r="AO31">
        <f t="shared" si="49"/>
        <v>104.00000000000001</v>
      </c>
      <c r="AP31" s="471">
        <f t="shared" si="24"/>
        <v>350</v>
      </c>
      <c r="AQ31" s="471"/>
      <c r="AR31" s="5">
        <f t="shared" si="50"/>
        <v>2.8571428571428572</v>
      </c>
      <c r="AS31" s="5">
        <f t="shared" si="25"/>
        <v>1.2489995996796797</v>
      </c>
      <c r="AT31" s="5">
        <f t="shared" si="51"/>
        <v>1.6081432574631775</v>
      </c>
      <c r="AU31" s="178">
        <f t="shared" si="52"/>
        <v>0.43714985988788785</v>
      </c>
      <c r="AW31" s="5">
        <f t="shared" si="26"/>
        <v>1.0824663197223889</v>
      </c>
      <c r="AX31" s="5">
        <f t="shared" si="27"/>
        <v>0.54123315986119447</v>
      </c>
      <c r="AY31" s="5">
        <f t="shared" si="28"/>
        <v>7.33539029720046E-2</v>
      </c>
      <c r="AZ31" s="5"/>
      <c r="BA31" s="178">
        <f t="shared" si="53"/>
        <v>0.13622248522529326</v>
      </c>
      <c r="BB31" s="178">
        <f t="shared" si="29"/>
        <v>0.30914342374297082</v>
      </c>
      <c r="BC31" s="178">
        <f t="shared" si="30"/>
        <v>0.15457171187148541</v>
      </c>
      <c r="BD31" s="178"/>
      <c r="BE31" s="545">
        <f t="shared" si="31"/>
        <v>6.494797918334334E-3</v>
      </c>
      <c r="BF31" s="545">
        <f t="shared" si="32"/>
        <v>4.5432360438348356E-2</v>
      </c>
      <c r="BG31" s="545">
        <f t="shared" si="33"/>
        <v>4.3749999999999995E-3</v>
      </c>
      <c r="BH31" s="545">
        <f t="shared" si="34"/>
        <v>4.1164375000000003E-2</v>
      </c>
      <c r="BI31">
        <f t="shared" si="35"/>
        <v>6.96E-3</v>
      </c>
      <c r="BJ31">
        <f t="shared" si="36"/>
        <v>0.10466206984788769</v>
      </c>
      <c r="BK31" s="471">
        <f t="shared" si="54"/>
        <v>104.66206984788769</v>
      </c>
      <c r="BL31" s="178">
        <f t="shared" si="37"/>
        <v>3.1200000000000002E-2</v>
      </c>
      <c r="BM31" s="178">
        <f t="shared" si="38"/>
        <v>1.5600000000000001E-2</v>
      </c>
      <c r="BN31" s="545"/>
      <c r="BP31" s="471">
        <f t="shared" si="55"/>
        <v>46.800000000000004</v>
      </c>
      <c r="BQ31" s="545">
        <f t="shared" si="39"/>
        <v>1.7628737206907481E-3</v>
      </c>
      <c r="BR31" s="545">
        <f t="shared" si="56"/>
        <v>8.60126907991734E-3</v>
      </c>
      <c r="BS31" s="545">
        <f t="shared" si="40"/>
        <v>2.3892414110881503E-3</v>
      </c>
      <c r="BT31" s="545">
        <f t="shared" si="41"/>
        <v>8.7171747512890634E-3</v>
      </c>
      <c r="BU31" s="545">
        <f t="shared" si="42"/>
        <v>2.1492487118656436E-2</v>
      </c>
      <c r="BV31" s="655">
        <f t="shared" si="43"/>
        <v>1.0028571428571432E-2</v>
      </c>
      <c r="BW31" s="471">
        <f t="shared" si="57"/>
        <v>31.521058547227867</v>
      </c>
      <c r="BX31" s="178">
        <f t="shared" si="58"/>
        <v>0.18298312839511555</v>
      </c>
      <c r="BY31" s="5">
        <f t="shared" si="59"/>
        <v>1.8720000000000003</v>
      </c>
      <c r="BZ31" s="178">
        <f t="shared" si="60"/>
        <v>0.91095638408573198</v>
      </c>
      <c r="CA31" s="5">
        <f t="shared" si="61"/>
        <v>91.095638408573194</v>
      </c>
      <c r="CB31">
        <f t="shared" si="62"/>
        <v>26</v>
      </c>
      <c r="CD31" s="580">
        <f t="shared" si="44"/>
        <v>-50</v>
      </c>
      <c r="CE31">
        <f t="shared" si="45"/>
        <v>-50</v>
      </c>
    </row>
    <row r="32" spans="5:83" x14ac:dyDescent="0.2">
      <c r="E32" s="175">
        <v>27</v>
      </c>
      <c r="F32" s="222">
        <f t="shared" si="63"/>
        <v>0.10800000000000001</v>
      </c>
      <c r="G32" s="222">
        <f t="shared" si="46"/>
        <v>5.4000000000000006E-2</v>
      </c>
      <c r="H32" s="222">
        <f t="shared" si="0"/>
        <v>1.2960000000000003</v>
      </c>
      <c r="I32" s="222">
        <f t="shared" si="64"/>
        <v>0.64800000000000013</v>
      </c>
      <c r="J32" s="558">
        <f t="shared" si="1"/>
        <v>24</v>
      </c>
      <c r="K32" s="453">
        <f t="shared" si="2"/>
        <v>24.5</v>
      </c>
      <c r="L32" s="453">
        <f t="shared" si="3"/>
        <v>48.5</v>
      </c>
      <c r="M32" s="453"/>
      <c r="N32" s="222">
        <f t="shared" si="4"/>
        <v>0.50515463917525771</v>
      </c>
      <c r="O32" s="177">
        <f t="shared" si="47"/>
        <v>5.5668041237113393</v>
      </c>
      <c r="P32" s="177">
        <f t="shared" si="5"/>
        <v>4.1751030927835044</v>
      </c>
      <c r="Q32" s="222">
        <f t="shared" si="6"/>
        <v>0.46390034364261162</v>
      </c>
      <c r="R32" s="222">
        <f t="shared" si="7"/>
        <v>0.46390034364261162</v>
      </c>
      <c r="S32" s="453">
        <f t="shared" si="8"/>
        <v>12</v>
      </c>
      <c r="T32" s="222">
        <f t="shared" si="9"/>
        <v>0.33757250268528477</v>
      </c>
      <c r="U32" s="222">
        <f t="shared" si="10"/>
        <v>1.1815037593984967</v>
      </c>
      <c r="V32" s="222">
        <f t="shared" si="11"/>
        <v>1.1573914377781191</v>
      </c>
      <c r="W32" s="202">
        <f t="shared" si="12"/>
        <v>350</v>
      </c>
      <c r="X32" s="453">
        <f t="shared" si="48"/>
        <v>350</v>
      </c>
      <c r="Z32" s="222">
        <f t="shared" si="13"/>
        <v>0.41237113402061859</v>
      </c>
      <c r="AA32" s="178">
        <f t="shared" si="14"/>
        <v>1.4138438880706923</v>
      </c>
      <c r="AB32" s="178">
        <f t="shared" si="15"/>
        <v>0.20405994260814117</v>
      </c>
      <c r="AC32" s="178"/>
      <c r="AD32" s="178">
        <f t="shared" si="16"/>
        <v>0.99428571428571422</v>
      </c>
      <c r="AE32" s="562">
        <f t="shared" si="17"/>
        <v>374.55410225921537</v>
      </c>
      <c r="AF32" s="545">
        <f t="shared" si="18"/>
        <v>0.10091999999999998</v>
      </c>
      <c r="AH32" s="178">
        <f t="shared" si="19"/>
        <v>0.36365491603879591</v>
      </c>
      <c r="AI32" s="178">
        <f t="shared" si="20"/>
        <v>0.36365491603879591</v>
      </c>
      <c r="AJ32" s="178">
        <f t="shared" si="21"/>
        <v>1.2545591970657748</v>
      </c>
      <c r="AL32" s="562">
        <f t="shared" si="22"/>
        <v>108.00000000000001</v>
      </c>
      <c r="AM32" s="471">
        <f t="shared" si="23"/>
        <v>350</v>
      </c>
      <c r="AO32">
        <f t="shared" si="49"/>
        <v>108.00000000000001</v>
      </c>
      <c r="AP32" s="471">
        <f t="shared" si="24"/>
        <v>350</v>
      </c>
      <c r="AQ32" s="471"/>
      <c r="AR32" s="5">
        <f t="shared" si="50"/>
        <v>2.8571428571428572</v>
      </c>
      <c r="AS32" s="5">
        <f t="shared" si="25"/>
        <v>1.2727922061357857</v>
      </c>
      <c r="AT32" s="5">
        <f t="shared" si="51"/>
        <v>1.5843506510070715</v>
      </c>
      <c r="AU32" s="178">
        <f t="shared" si="52"/>
        <v>0.44547727214752497</v>
      </c>
      <c r="AW32" s="5">
        <f t="shared" si="26"/>
        <v>1.1455129855222073</v>
      </c>
      <c r="AX32" s="5">
        <f t="shared" si="27"/>
        <v>0.57275649276110363</v>
      </c>
      <c r="AY32" s="5">
        <f t="shared" si="28"/>
        <v>7.504818873191392E-2</v>
      </c>
      <c r="AZ32" s="5"/>
      <c r="BA32" s="178">
        <f t="shared" si="53"/>
        <v>0.14013338455234348</v>
      </c>
      <c r="BB32" s="178">
        <f t="shared" si="29"/>
        <v>0.31269325024353339</v>
      </c>
      <c r="BC32" s="178">
        <f t="shared" si="30"/>
        <v>0.1563466251217667</v>
      </c>
      <c r="BD32" s="178"/>
      <c r="BE32" s="545">
        <f t="shared" si="31"/>
        <v>6.8730779131332409E-3</v>
      </c>
      <c r="BF32" s="545">
        <f t="shared" si="32"/>
        <v>4.6297816498189197E-2</v>
      </c>
      <c r="BG32" s="545">
        <f t="shared" si="33"/>
        <v>4.3749999999999995E-3</v>
      </c>
      <c r="BH32" s="545">
        <f t="shared" si="34"/>
        <v>4.1164375000000003E-2</v>
      </c>
      <c r="BI32">
        <f t="shared" si="35"/>
        <v>6.96E-3</v>
      </c>
      <c r="BJ32">
        <f t="shared" si="36"/>
        <v>0.10592252618443669</v>
      </c>
      <c r="BK32" s="471">
        <f t="shared" si="54"/>
        <v>105.92252618443669</v>
      </c>
      <c r="BL32" s="178">
        <f t="shared" si="37"/>
        <v>3.2400000000000005E-2</v>
      </c>
      <c r="BM32" s="178">
        <f t="shared" si="38"/>
        <v>1.6200000000000003E-2</v>
      </c>
      <c r="BN32" s="545"/>
      <c r="BP32" s="471">
        <f t="shared" si="55"/>
        <v>48.6</v>
      </c>
      <c r="BQ32" s="545">
        <f t="shared" si="39"/>
        <v>1.8655497192790226E-3</v>
      </c>
      <c r="BR32" s="545">
        <f t="shared" si="56"/>
        <v>8.7999361873078493E-3</v>
      </c>
      <c r="BS32" s="545">
        <f t="shared" si="40"/>
        <v>2.4444267186966252E-3</v>
      </c>
      <c r="BT32" s="545">
        <f t="shared" si="41"/>
        <v>9.1382655161999261E-3</v>
      </c>
      <c r="BU32" s="545">
        <f t="shared" si="42"/>
        <v>2.2271536373154054E-2</v>
      </c>
      <c r="BV32" s="655">
        <f t="shared" si="43"/>
        <v>1.0414285714285716E-2</v>
      </c>
      <c r="BW32" s="471">
        <f t="shared" si="57"/>
        <v>32.685822087439767</v>
      </c>
      <c r="BX32" s="178">
        <f t="shared" si="58"/>
        <v>0.18720834827187643</v>
      </c>
      <c r="BY32" s="5">
        <f t="shared" si="59"/>
        <v>1.9440000000000004</v>
      </c>
      <c r="BZ32" s="178">
        <f t="shared" si="60"/>
        <v>0.912158589082256</v>
      </c>
      <c r="CA32" s="5">
        <f t="shared" si="61"/>
        <v>91.215858908225599</v>
      </c>
      <c r="CB32">
        <f t="shared" si="62"/>
        <v>27</v>
      </c>
      <c r="CD32" s="580">
        <f t="shared" si="44"/>
        <v>-50</v>
      </c>
      <c r="CE32">
        <f t="shared" si="45"/>
        <v>-50</v>
      </c>
    </row>
    <row r="33" spans="5:83" x14ac:dyDescent="0.2">
      <c r="E33" s="175">
        <v>28</v>
      </c>
      <c r="F33" s="222">
        <f t="shared" si="63"/>
        <v>0.11200000000000002</v>
      </c>
      <c r="G33" s="222">
        <f t="shared" si="46"/>
        <v>5.6000000000000008E-2</v>
      </c>
      <c r="H33" s="222">
        <f t="shared" si="0"/>
        <v>1.3440000000000003</v>
      </c>
      <c r="I33" s="222">
        <f t="shared" si="64"/>
        <v>0.67200000000000015</v>
      </c>
      <c r="J33" s="558">
        <f t="shared" si="1"/>
        <v>24</v>
      </c>
      <c r="K33" s="453">
        <f t="shared" si="2"/>
        <v>24.5</v>
      </c>
      <c r="L33" s="453">
        <f t="shared" si="3"/>
        <v>48.5</v>
      </c>
      <c r="M33" s="453"/>
      <c r="N33" s="222">
        <f t="shared" si="4"/>
        <v>0.50515463917525771</v>
      </c>
      <c r="O33" s="177">
        <f t="shared" si="47"/>
        <v>5.5668041237113393</v>
      </c>
      <c r="P33" s="177">
        <f t="shared" si="5"/>
        <v>4.1751030927835044</v>
      </c>
      <c r="Q33" s="222">
        <f t="shared" si="6"/>
        <v>0.46390034364261162</v>
      </c>
      <c r="R33" s="222">
        <f t="shared" si="7"/>
        <v>0.46390034364261162</v>
      </c>
      <c r="S33" s="453">
        <f t="shared" si="8"/>
        <v>12</v>
      </c>
      <c r="T33" s="222">
        <f t="shared" si="9"/>
        <v>0.35007518796992493</v>
      </c>
      <c r="U33" s="222">
        <f t="shared" si="10"/>
        <v>1.2252631578947373</v>
      </c>
      <c r="V33" s="222">
        <f t="shared" si="11"/>
        <v>1.2002577873254567</v>
      </c>
      <c r="W33" s="202">
        <f t="shared" si="12"/>
        <v>350</v>
      </c>
      <c r="X33" s="453">
        <f t="shared" si="48"/>
        <v>350</v>
      </c>
      <c r="Z33" s="222">
        <f t="shared" si="13"/>
        <v>0.41237113402061859</v>
      </c>
      <c r="AA33" s="178">
        <f t="shared" si="14"/>
        <v>1.4138438880706923</v>
      </c>
      <c r="AB33" s="178">
        <f t="shared" si="15"/>
        <v>0.20405994260814117</v>
      </c>
      <c r="AC33" s="178"/>
      <c r="AD33" s="178">
        <f t="shared" si="16"/>
        <v>0.99428571428571422</v>
      </c>
      <c r="AE33" s="562">
        <f t="shared" si="17"/>
        <v>388.42647641696408</v>
      </c>
      <c r="AF33" s="545">
        <f t="shared" si="18"/>
        <v>0.10091999999999998</v>
      </c>
      <c r="AH33" s="178">
        <f t="shared" si="19"/>
        <v>0.37032803990902063</v>
      </c>
      <c r="AI33" s="178">
        <f t="shared" si="20"/>
        <v>0.37032803990902063</v>
      </c>
      <c r="AJ33" s="178">
        <f t="shared" si="21"/>
        <v>1.2595022517844596</v>
      </c>
      <c r="AL33" s="562">
        <f t="shared" si="22"/>
        <v>112.00000000000001</v>
      </c>
      <c r="AM33" s="471">
        <f t="shared" si="23"/>
        <v>350</v>
      </c>
      <c r="AO33">
        <f t="shared" si="49"/>
        <v>112.00000000000001</v>
      </c>
      <c r="AP33" s="471">
        <f t="shared" si="24"/>
        <v>350</v>
      </c>
      <c r="AQ33" s="471"/>
      <c r="AR33" s="5">
        <f t="shared" si="50"/>
        <v>2.8571428571428572</v>
      </c>
      <c r="AS33" s="5">
        <f t="shared" si="25"/>
        <v>1.2961481396815722</v>
      </c>
      <c r="AT33" s="5">
        <f t="shared" si="51"/>
        <v>1.560994717461285</v>
      </c>
      <c r="AU33" s="178">
        <f t="shared" si="52"/>
        <v>0.45365184888855026</v>
      </c>
      <c r="AW33" s="5">
        <f t="shared" si="26"/>
        <v>1.2097382637028009</v>
      </c>
      <c r="AX33" s="5">
        <f t="shared" si="27"/>
        <v>0.60486913185140045</v>
      </c>
      <c r="AY33" s="5">
        <f t="shared" si="28"/>
        <v>7.6680442261256115E-2</v>
      </c>
      <c r="AZ33" s="5"/>
      <c r="BA33" s="178">
        <f t="shared" si="53"/>
        <v>0.14400822974714036</v>
      </c>
      <c r="BB33" s="178">
        <f t="shared" si="29"/>
        <v>0.31607540542965734</v>
      </c>
      <c r="BC33" s="178">
        <f t="shared" si="30"/>
        <v>0.15803770271482867</v>
      </c>
      <c r="BD33" s="178"/>
      <c r="BE33" s="545">
        <f t="shared" si="31"/>
        <v>7.2584295822168072E-3</v>
      </c>
      <c r="BF33" s="545">
        <f t="shared" si="32"/>
        <v>4.7147388580917188E-2</v>
      </c>
      <c r="BG33" s="545">
        <f t="shared" si="33"/>
        <v>4.3749999999999995E-3</v>
      </c>
      <c r="BH33" s="545">
        <f t="shared" si="34"/>
        <v>4.1164375000000003E-2</v>
      </c>
      <c r="BI33">
        <f t="shared" si="35"/>
        <v>6.96E-3</v>
      </c>
      <c r="BJ33">
        <f t="shared" si="36"/>
        <v>0.10717474255464639</v>
      </c>
      <c r="BK33" s="471">
        <f t="shared" si="54"/>
        <v>107.17474255464639</v>
      </c>
      <c r="BL33" s="178">
        <f t="shared" si="37"/>
        <v>3.3600000000000005E-2</v>
      </c>
      <c r="BM33" s="178">
        <f t="shared" si="38"/>
        <v>1.6800000000000002E-2</v>
      </c>
      <c r="BN33" s="545"/>
      <c r="BP33" s="471">
        <f t="shared" si="55"/>
        <v>50.400000000000006</v>
      </c>
      <c r="BQ33" s="545">
        <f t="shared" si="39"/>
        <v>1.9701451723159904E-3</v>
      </c>
      <c r="BR33" s="545">
        <f t="shared" si="56"/>
        <v>8.9913295725770025E-3</v>
      </c>
      <c r="BS33" s="545">
        <f t="shared" si="40"/>
        <v>2.4975915479380564E-3</v>
      </c>
      <c r="BT33" s="545">
        <f t="shared" si="41"/>
        <v>9.5632741640053094E-3</v>
      </c>
      <c r="BU33" s="545">
        <f t="shared" si="42"/>
        <v>2.3047155912779664E-2</v>
      </c>
      <c r="BV33" s="655">
        <f t="shared" si="43"/>
        <v>1.0800000000000006E-2</v>
      </c>
      <c r="BW33" s="471">
        <f t="shared" si="57"/>
        <v>33.84715591277967</v>
      </c>
      <c r="BX33" s="178">
        <f t="shared" si="58"/>
        <v>0.19142189846742608</v>
      </c>
      <c r="BY33" s="5">
        <f t="shared" si="59"/>
        <v>2.0160000000000005</v>
      </c>
      <c r="BZ33" s="178">
        <f t="shared" si="60"/>
        <v>0.91328259513945786</v>
      </c>
      <c r="CA33" s="5">
        <f t="shared" si="61"/>
        <v>91.328259513945781</v>
      </c>
      <c r="CB33">
        <f t="shared" si="62"/>
        <v>28.000000000000004</v>
      </c>
      <c r="CD33" s="580">
        <f t="shared" si="44"/>
        <v>-50</v>
      </c>
      <c r="CE33">
        <f t="shared" si="45"/>
        <v>-50</v>
      </c>
    </row>
    <row r="34" spans="5:83" x14ac:dyDescent="0.2">
      <c r="E34" s="175">
        <v>29</v>
      </c>
      <c r="F34" s="222">
        <f t="shared" si="63"/>
        <v>0.11599999999999999</v>
      </c>
      <c r="G34" s="222">
        <f t="shared" si="46"/>
        <v>5.7999999999999996E-2</v>
      </c>
      <c r="H34" s="222">
        <f t="shared" si="0"/>
        <v>1.3919999999999999</v>
      </c>
      <c r="I34" s="222">
        <f t="shared" si="64"/>
        <v>0.69599999999999995</v>
      </c>
      <c r="J34" s="558">
        <f t="shared" si="1"/>
        <v>24</v>
      </c>
      <c r="K34" s="453">
        <f t="shared" si="2"/>
        <v>24.5</v>
      </c>
      <c r="L34" s="453">
        <f t="shared" si="3"/>
        <v>48.5</v>
      </c>
      <c r="M34" s="453"/>
      <c r="N34" s="222">
        <f t="shared" si="4"/>
        <v>0.50515463917525771</v>
      </c>
      <c r="O34" s="177">
        <f t="shared" si="47"/>
        <v>5.5668041237113393</v>
      </c>
      <c r="P34" s="177">
        <f t="shared" si="5"/>
        <v>4.1751030927835044</v>
      </c>
      <c r="Q34" s="222">
        <f t="shared" si="6"/>
        <v>0.46390034364261162</v>
      </c>
      <c r="R34" s="222">
        <f t="shared" si="7"/>
        <v>0.46390034364261162</v>
      </c>
      <c r="S34" s="453">
        <f t="shared" si="8"/>
        <v>12</v>
      </c>
      <c r="T34" s="222">
        <f t="shared" si="9"/>
        <v>0.36257787325456503</v>
      </c>
      <c r="U34" s="222">
        <f t="shared" si="10"/>
        <v>1.2690225563909776</v>
      </c>
      <c r="V34" s="222">
        <f t="shared" si="11"/>
        <v>1.2431241368727943</v>
      </c>
      <c r="W34" s="202">
        <f t="shared" si="12"/>
        <v>350</v>
      </c>
      <c r="X34" s="453">
        <f t="shared" si="48"/>
        <v>350</v>
      </c>
      <c r="Z34" s="222">
        <f t="shared" si="13"/>
        <v>0.41237113402061859</v>
      </c>
      <c r="AA34" s="178">
        <f t="shared" si="14"/>
        <v>1.4138438880706923</v>
      </c>
      <c r="AB34" s="178">
        <f t="shared" si="15"/>
        <v>0.20405994260814117</v>
      </c>
      <c r="AC34" s="178"/>
      <c r="AD34" s="178">
        <f t="shared" si="16"/>
        <v>0.99428571428571422</v>
      </c>
      <c r="AE34" s="562">
        <f t="shared" si="17"/>
        <v>402.29885057471273</v>
      </c>
      <c r="AF34" s="545">
        <f t="shared" si="18"/>
        <v>0.10091999999999998</v>
      </c>
      <c r="AH34" s="178">
        <f t="shared" si="19"/>
        <v>0.3768830273792263</v>
      </c>
      <c r="AI34" s="178">
        <f t="shared" si="20"/>
        <v>0.3768830273792263</v>
      </c>
      <c r="AJ34" s="178">
        <f t="shared" si="21"/>
        <v>1.2643577980586862</v>
      </c>
      <c r="AL34" s="562">
        <f t="shared" si="22"/>
        <v>115.99999999999999</v>
      </c>
      <c r="AM34" s="471">
        <f t="shared" si="23"/>
        <v>350</v>
      </c>
      <c r="AO34">
        <f t="shared" si="49"/>
        <v>115.99999999999999</v>
      </c>
      <c r="AP34" s="471">
        <f t="shared" si="24"/>
        <v>350</v>
      </c>
      <c r="AQ34" s="471"/>
      <c r="AR34" s="5">
        <f t="shared" si="50"/>
        <v>2.8571428571428572</v>
      </c>
      <c r="AS34" s="5">
        <f t="shared" si="25"/>
        <v>1.3190905958272918</v>
      </c>
      <c r="AT34" s="5">
        <f t="shared" si="51"/>
        <v>1.5380522613155654</v>
      </c>
      <c r="AU34" s="178">
        <f t="shared" si="52"/>
        <v>0.46168170853955215</v>
      </c>
      <c r="AW34" s="5">
        <f t="shared" si="26"/>
        <v>1.2751209092997153</v>
      </c>
      <c r="AX34" s="5">
        <f t="shared" si="27"/>
        <v>0.63756045464985767</v>
      </c>
      <c r="AY34" s="5">
        <f t="shared" si="28"/>
        <v>7.8251781716055055E-2</v>
      </c>
      <c r="AZ34" s="5"/>
      <c r="BA34" s="178">
        <f t="shared" si="53"/>
        <v>0.1478486238961835</v>
      </c>
      <c r="BB34" s="178">
        <f t="shared" si="29"/>
        <v>0.31929749881585412</v>
      </c>
      <c r="BC34" s="178">
        <f t="shared" si="30"/>
        <v>0.15964874940792706</v>
      </c>
      <c r="BD34" s="178"/>
      <c r="BE34" s="545">
        <f t="shared" si="31"/>
        <v>7.6507254557982921E-3</v>
      </c>
      <c r="BF34" s="545">
        <f t="shared" si="32"/>
        <v>4.798192042321775E-2</v>
      </c>
      <c r="BG34" s="545">
        <f t="shared" si="33"/>
        <v>4.3749999999999995E-3</v>
      </c>
      <c r="BH34" s="545">
        <f t="shared" si="34"/>
        <v>4.1164375000000003E-2</v>
      </c>
      <c r="BI34">
        <f t="shared" si="35"/>
        <v>6.96E-3</v>
      </c>
      <c r="BJ34">
        <f t="shared" si="36"/>
        <v>0.10841943824790697</v>
      </c>
      <c r="BK34" s="471">
        <f t="shared" si="54"/>
        <v>108.41943824790697</v>
      </c>
      <c r="BL34" s="178">
        <f t="shared" si="37"/>
        <v>3.4799999999999998E-2</v>
      </c>
      <c r="BM34" s="178">
        <f t="shared" si="38"/>
        <v>1.7399999999999999E-2</v>
      </c>
      <c r="BN34" s="545"/>
      <c r="BP34" s="471">
        <f t="shared" si="55"/>
        <v>52.199999999999996</v>
      </c>
      <c r="BQ34" s="545">
        <f t="shared" si="39"/>
        <v>2.0766254808595366E-3</v>
      </c>
      <c r="BR34" s="545">
        <f t="shared" si="56"/>
        <v>9.1755803475054316E-3</v>
      </c>
      <c r="BS34" s="545">
        <f t="shared" si="40"/>
        <v>2.5487723187515091E-3</v>
      </c>
      <c r="BT34" s="545">
        <f t="shared" si="41"/>
        <v>9.9920952356433966E-3</v>
      </c>
      <c r="BU34" s="545">
        <f t="shared" si="42"/>
        <v>2.3819371833171683E-2</v>
      </c>
      <c r="BV34" s="655">
        <f t="shared" si="43"/>
        <v>1.1185714285714288E-2</v>
      </c>
      <c r="BW34" s="471">
        <f t="shared" si="57"/>
        <v>35.005086118885977</v>
      </c>
      <c r="BX34" s="178">
        <f t="shared" si="58"/>
        <v>0.19562452436679292</v>
      </c>
      <c r="BY34" s="5">
        <f t="shared" si="59"/>
        <v>2.0880000000000001</v>
      </c>
      <c r="BZ34" s="178">
        <f t="shared" si="60"/>
        <v>0.9143359504684615</v>
      </c>
      <c r="CA34" s="5">
        <f t="shared" si="61"/>
        <v>91.43359504684615</v>
      </c>
      <c r="CB34">
        <f t="shared" si="62"/>
        <v>28.999999999999996</v>
      </c>
      <c r="CD34" s="580">
        <f t="shared" si="44"/>
        <v>-50</v>
      </c>
      <c r="CE34">
        <f t="shared" si="45"/>
        <v>-50</v>
      </c>
    </row>
    <row r="35" spans="5:83" x14ac:dyDescent="0.2">
      <c r="E35" s="175">
        <v>30</v>
      </c>
      <c r="F35" s="222">
        <f t="shared" si="63"/>
        <v>0.12</v>
      </c>
      <c r="G35" s="222">
        <f t="shared" si="46"/>
        <v>0.06</v>
      </c>
      <c r="H35" s="222">
        <f t="shared" si="0"/>
        <v>1.44</v>
      </c>
      <c r="I35" s="222">
        <f t="shared" si="64"/>
        <v>0.72</v>
      </c>
      <c r="J35" s="558">
        <f t="shared" si="1"/>
        <v>24</v>
      </c>
      <c r="K35" s="453">
        <f t="shared" si="2"/>
        <v>24.5</v>
      </c>
      <c r="L35" s="453">
        <f t="shared" si="3"/>
        <v>48.5</v>
      </c>
      <c r="M35" s="453"/>
      <c r="N35" s="222">
        <f t="shared" si="4"/>
        <v>0.50515463917525771</v>
      </c>
      <c r="O35" s="177">
        <f t="shared" si="47"/>
        <v>5.5668041237113393</v>
      </c>
      <c r="P35" s="177">
        <f t="shared" si="5"/>
        <v>4.1751030927835044</v>
      </c>
      <c r="Q35" s="222">
        <f t="shared" si="6"/>
        <v>0.46390034364261162</v>
      </c>
      <c r="R35" s="222">
        <f t="shared" si="7"/>
        <v>0.46390034364261162</v>
      </c>
      <c r="S35" s="453">
        <f t="shared" si="8"/>
        <v>12</v>
      </c>
      <c r="T35" s="222">
        <f t="shared" si="9"/>
        <v>0.37508055853920524</v>
      </c>
      <c r="U35" s="222">
        <f t="shared" si="10"/>
        <v>1.3127819548872184</v>
      </c>
      <c r="V35" s="222">
        <f t="shared" si="11"/>
        <v>1.2859904864201321</v>
      </c>
      <c r="W35" s="202">
        <f t="shared" si="12"/>
        <v>350</v>
      </c>
      <c r="X35" s="453">
        <f t="shared" si="48"/>
        <v>350</v>
      </c>
      <c r="Z35" s="222">
        <f t="shared" si="13"/>
        <v>0.41237113402061859</v>
      </c>
      <c r="AA35" s="178">
        <f t="shared" si="14"/>
        <v>1.4138438880706923</v>
      </c>
      <c r="AB35" s="178">
        <f t="shared" si="15"/>
        <v>0.20405994260814117</v>
      </c>
      <c r="AC35" s="178"/>
      <c r="AD35" s="178">
        <f t="shared" si="16"/>
        <v>0.99428571428571422</v>
      </c>
      <c r="AE35" s="562">
        <f t="shared" si="17"/>
        <v>416.17122473246144</v>
      </c>
      <c r="AF35" s="545">
        <f t="shared" si="18"/>
        <v>0.10091999999999998</v>
      </c>
      <c r="AH35" s="178">
        <f t="shared" si="19"/>
        <v>0.38332593899996398</v>
      </c>
      <c r="AI35" s="178">
        <f t="shared" si="20"/>
        <v>0.38332593899996398</v>
      </c>
      <c r="AJ35" s="178">
        <f t="shared" si="21"/>
        <v>1.2691303251851584</v>
      </c>
      <c r="AL35" s="562">
        <f t="shared" si="22"/>
        <v>120</v>
      </c>
      <c r="AM35" s="471">
        <f t="shared" si="23"/>
        <v>350</v>
      </c>
      <c r="AO35">
        <f t="shared" si="49"/>
        <v>120</v>
      </c>
      <c r="AP35" s="471">
        <f t="shared" si="24"/>
        <v>350</v>
      </c>
      <c r="AQ35" s="471"/>
      <c r="AR35" s="5">
        <f t="shared" si="50"/>
        <v>2.8571428571428572</v>
      </c>
      <c r="AS35" s="5">
        <f t="shared" si="25"/>
        <v>1.3416407864998736</v>
      </c>
      <c r="AT35" s="5">
        <f t="shared" si="51"/>
        <v>1.5155020706429836</v>
      </c>
      <c r="AU35" s="178">
        <f t="shared" si="52"/>
        <v>0.46957427527495577</v>
      </c>
      <c r="AW35" s="5">
        <f t="shared" si="26"/>
        <v>1.3416407864998736</v>
      </c>
      <c r="AX35" s="5">
        <f t="shared" si="27"/>
        <v>0.67082039324993681</v>
      </c>
      <c r="AY35" s="5">
        <f t="shared" si="28"/>
        <v>7.9763266875946495E-2</v>
      </c>
      <c r="AZ35" s="5"/>
      <c r="BA35" s="178">
        <f t="shared" si="53"/>
        <v>0.15165604617026596</v>
      </c>
      <c r="BB35" s="178">
        <f t="shared" si="29"/>
        <v>0.32236647156140086</v>
      </c>
      <c r="BC35" s="178">
        <f t="shared" si="30"/>
        <v>0.16118323578070043</v>
      </c>
      <c r="BD35" s="178"/>
      <c r="BE35" s="545">
        <f t="shared" si="31"/>
        <v>8.0498447189992443E-3</v>
      </c>
      <c r="BF35" s="545">
        <f t="shared" si="32"/>
        <v>4.8802183608932903E-2</v>
      </c>
      <c r="BG35" s="545">
        <f t="shared" si="33"/>
        <v>4.3749999999999995E-3</v>
      </c>
      <c r="BH35" s="545">
        <f t="shared" si="34"/>
        <v>4.1164375000000003E-2</v>
      </c>
      <c r="BI35">
        <f t="shared" si="35"/>
        <v>6.96E-3</v>
      </c>
      <c r="BJ35">
        <f t="shared" si="36"/>
        <v>0.10965726718462726</v>
      </c>
      <c r="BK35" s="471">
        <f t="shared" si="54"/>
        <v>109.65726718462726</v>
      </c>
      <c r="BL35" s="178">
        <f t="shared" si="37"/>
        <v>3.5999999999999997E-2</v>
      </c>
      <c r="BM35" s="178">
        <f t="shared" si="38"/>
        <v>1.7999999999999999E-2</v>
      </c>
      <c r="BN35" s="545"/>
      <c r="BP35" s="471">
        <f t="shared" si="55"/>
        <v>53.999999999999993</v>
      </c>
      <c r="BQ35" s="545">
        <f t="shared" si="39"/>
        <v>2.1849578522997949E-3</v>
      </c>
      <c r="BR35" s="545">
        <f t="shared" si="56"/>
        <v>9.3528127788252719E-3</v>
      </c>
      <c r="BS35" s="545">
        <f t="shared" si="40"/>
        <v>2.5980035496736865E-3</v>
      </c>
      <c r="BT35" s="545">
        <f t="shared" si="41"/>
        <v>1.0424629667594406E-2</v>
      </c>
      <c r="BU35" s="545">
        <f t="shared" si="42"/>
        <v>2.4588209718800765E-2</v>
      </c>
      <c r="BV35" s="655">
        <f t="shared" si="43"/>
        <v>1.1571428571428573E-2</v>
      </c>
      <c r="BW35" s="471">
        <f t="shared" si="57"/>
        <v>36.159638290229331</v>
      </c>
      <c r="BX35" s="178">
        <f t="shared" si="58"/>
        <v>0.19981690547485659</v>
      </c>
      <c r="BY35" s="5">
        <f t="shared" si="59"/>
        <v>2.16</v>
      </c>
      <c r="BZ35" s="178">
        <f t="shared" si="60"/>
        <v>0.91532525044155988</v>
      </c>
      <c r="CA35" s="5">
        <f t="shared" si="61"/>
        <v>91.532525044155989</v>
      </c>
      <c r="CB35">
        <f t="shared" si="62"/>
        <v>30</v>
      </c>
      <c r="CD35" s="580">
        <f t="shared" si="44"/>
        <v>-50</v>
      </c>
      <c r="CE35">
        <f t="shared" si="45"/>
        <v>-50</v>
      </c>
    </row>
    <row r="36" spans="5:83" x14ac:dyDescent="0.2">
      <c r="E36" s="175">
        <v>31</v>
      </c>
      <c r="F36" s="222">
        <f t="shared" si="63"/>
        <v>0.124</v>
      </c>
      <c r="G36" s="222">
        <f t="shared" si="46"/>
        <v>6.2E-2</v>
      </c>
      <c r="H36" s="222">
        <f t="shared" si="0"/>
        <v>1.488</v>
      </c>
      <c r="I36" s="222">
        <f t="shared" si="64"/>
        <v>0.74399999999999999</v>
      </c>
      <c r="J36" s="558">
        <f t="shared" si="1"/>
        <v>24</v>
      </c>
      <c r="K36" s="453">
        <f t="shared" si="2"/>
        <v>24.5</v>
      </c>
      <c r="L36" s="453">
        <f t="shared" si="3"/>
        <v>48.5</v>
      </c>
      <c r="M36" s="453"/>
      <c r="N36" s="222">
        <f t="shared" si="4"/>
        <v>0.50515463917525771</v>
      </c>
      <c r="O36" s="177">
        <f t="shared" si="47"/>
        <v>5.5668041237113393</v>
      </c>
      <c r="P36" s="177">
        <f t="shared" si="5"/>
        <v>4.1751030927835044</v>
      </c>
      <c r="Q36" s="222">
        <f t="shared" si="6"/>
        <v>0.46390034364261162</v>
      </c>
      <c r="R36" s="222">
        <f t="shared" si="7"/>
        <v>0.46390034364261162</v>
      </c>
      <c r="S36" s="453">
        <f t="shared" si="8"/>
        <v>12</v>
      </c>
      <c r="T36" s="222">
        <f t="shared" si="9"/>
        <v>0.3875832438238454</v>
      </c>
      <c r="U36" s="222">
        <f t="shared" si="10"/>
        <v>1.3565413533834589</v>
      </c>
      <c r="V36" s="222">
        <f t="shared" si="11"/>
        <v>1.32885683596747</v>
      </c>
      <c r="W36" s="202">
        <f t="shared" si="12"/>
        <v>350</v>
      </c>
      <c r="X36" s="453">
        <f t="shared" si="48"/>
        <v>350</v>
      </c>
      <c r="Z36" s="222">
        <f t="shared" si="13"/>
        <v>0.41237113402061859</v>
      </c>
      <c r="AA36" s="178">
        <f t="shared" si="14"/>
        <v>1.4138438880706923</v>
      </c>
      <c r="AB36" s="178">
        <f t="shared" si="15"/>
        <v>0.20405994260814117</v>
      </c>
      <c r="AC36" s="178"/>
      <c r="AD36" s="178">
        <f t="shared" si="16"/>
        <v>0.99428571428571422</v>
      </c>
      <c r="AE36" s="562">
        <f t="shared" si="17"/>
        <v>430.04359889021015</v>
      </c>
      <c r="AF36" s="545">
        <f t="shared" si="18"/>
        <v>0.10091999999999998</v>
      </c>
      <c r="AH36" s="178">
        <f t="shared" si="19"/>
        <v>0.38966233419959589</v>
      </c>
      <c r="AI36" s="178">
        <f t="shared" si="20"/>
        <v>0.38966233419959589</v>
      </c>
      <c r="AJ36" s="178">
        <f t="shared" si="21"/>
        <v>1.27382395125896</v>
      </c>
      <c r="AL36" s="562">
        <f t="shared" si="22"/>
        <v>124</v>
      </c>
      <c r="AM36" s="471">
        <f t="shared" si="23"/>
        <v>350</v>
      </c>
      <c r="AO36">
        <f t="shared" si="49"/>
        <v>124</v>
      </c>
      <c r="AP36" s="471">
        <f t="shared" si="24"/>
        <v>350</v>
      </c>
      <c r="AQ36" s="471"/>
      <c r="AR36" s="5">
        <f t="shared" si="50"/>
        <v>2.8571428571428572</v>
      </c>
      <c r="AS36" s="5">
        <f t="shared" si="25"/>
        <v>1.3638181696985856</v>
      </c>
      <c r="AT36" s="5">
        <f t="shared" si="51"/>
        <v>1.4933246874442716</v>
      </c>
      <c r="AU36" s="178">
        <f t="shared" si="52"/>
        <v>0.47733635939450497</v>
      </c>
      <c r="AW36" s="5">
        <f t="shared" si="26"/>
        <v>1.4092787753552052</v>
      </c>
      <c r="AX36" s="5">
        <f t="shared" si="27"/>
        <v>0.70463938767760259</v>
      </c>
      <c r="AY36" s="5">
        <f t="shared" si="28"/>
        <v>8.1215904053986682E-2</v>
      </c>
      <c r="AZ36" s="5"/>
      <c r="BA36" s="178">
        <f t="shared" si="53"/>
        <v>0.15543186520265059</v>
      </c>
      <c r="BB36" s="178">
        <f t="shared" si="29"/>
        <v>0.32528867288969182</v>
      </c>
      <c r="BC36" s="178">
        <f t="shared" si="30"/>
        <v>0.16264433644484591</v>
      </c>
      <c r="BD36" s="178"/>
      <c r="BE36" s="545">
        <f t="shared" si="31"/>
        <v>8.4556726521312301E-3</v>
      </c>
      <c r="BF36" s="545">
        <f t="shared" si="32"/>
        <v>4.9608885922786047E-2</v>
      </c>
      <c r="BG36" s="545">
        <f t="shared" si="33"/>
        <v>4.3749999999999995E-3</v>
      </c>
      <c r="BH36" s="545">
        <f t="shared" si="34"/>
        <v>4.1164375000000003E-2</v>
      </c>
      <c r="BI36">
        <f t="shared" si="35"/>
        <v>6.96E-3</v>
      </c>
      <c r="BJ36">
        <f t="shared" si="36"/>
        <v>0.11088882570009387</v>
      </c>
      <c r="BK36" s="471">
        <f t="shared" si="54"/>
        <v>110.88882570009388</v>
      </c>
      <c r="BL36" s="178">
        <f t="shared" si="37"/>
        <v>3.7199999999999997E-2</v>
      </c>
      <c r="BM36" s="178">
        <f t="shared" si="38"/>
        <v>1.8599999999999998E-2</v>
      </c>
      <c r="BN36" s="545"/>
      <c r="BP36" s="471">
        <f t="shared" si="55"/>
        <v>55.8</v>
      </c>
      <c r="BQ36" s="545">
        <f t="shared" si="39"/>
        <v>2.29511114843562E-3</v>
      </c>
      <c r="BR36" s="545">
        <f t="shared" si="56"/>
        <v>9.5231448639303239E-3</v>
      </c>
      <c r="BS36" s="545">
        <f t="shared" si="40"/>
        <v>2.6453180177584234E-3</v>
      </c>
      <c r="BT36" s="545">
        <f t="shared" si="41"/>
        <v>1.0860784202682159E-2</v>
      </c>
      <c r="BU36" s="545">
        <f t="shared" si="42"/>
        <v>2.5353694635950868E-2</v>
      </c>
      <c r="BV36" s="655">
        <f t="shared" si="43"/>
        <v>1.1957142857142859E-2</v>
      </c>
      <c r="BW36" s="471">
        <f t="shared" si="57"/>
        <v>37.310837493093722</v>
      </c>
      <c r="BX36" s="178">
        <f t="shared" si="58"/>
        <v>0.20399966319318757</v>
      </c>
      <c r="BY36" s="5">
        <f t="shared" si="59"/>
        <v>2.2320000000000002</v>
      </c>
      <c r="BZ36" s="178">
        <f t="shared" si="60"/>
        <v>0.91625628431911266</v>
      </c>
      <c r="CA36" s="5">
        <f t="shared" si="61"/>
        <v>91.625628431911267</v>
      </c>
      <c r="CB36">
        <f t="shared" si="62"/>
        <v>31</v>
      </c>
      <c r="CD36" s="580">
        <f t="shared" si="44"/>
        <v>-50</v>
      </c>
      <c r="CE36">
        <f t="shared" si="45"/>
        <v>-50</v>
      </c>
    </row>
    <row r="37" spans="5:83" x14ac:dyDescent="0.2">
      <c r="E37" s="175">
        <v>32</v>
      </c>
      <c r="F37" s="222">
        <f t="shared" si="63"/>
        <v>0.128</v>
      </c>
      <c r="G37" s="222">
        <f t="shared" si="46"/>
        <v>6.4000000000000001E-2</v>
      </c>
      <c r="H37" s="222">
        <f t="shared" ref="H37:H68" si="65">F37*Vout</f>
        <v>1.536</v>
      </c>
      <c r="I37" s="222">
        <f t="shared" si="64"/>
        <v>0.76800000000000002</v>
      </c>
      <c r="J37" s="558">
        <f t="shared" si="1"/>
        <v>24</v>
      </c>
      <c r="K37" s="453">
        <f t="shared" si="2"/>
        <v>24.5</v>
      </c>
      <c r="L37" s="453">
        <f t="shared" si="3"/>
        <v>48.5</v>
      </c>
      <c r="M37" s="453"/>
      <c r="N37" s="222">
        <f t="shared" si="4"/>
        <v>0.50515463917525771</v>
      </c>
      <c r="O37" s="177">
        <f t="shared" si="47"/>
        <v>5.5668041237113393</v>
      </c>
      <c r="P37" s="177">
        <f t="shared" ref="P37:P68" si="66">N37*J37*Isw_max*0.5*Efficiency*(Pout2/Pout_total)</f>
        <v>4.1751030927835044</v>
      </c>
      <c r="Q37" s="222">
        <f t="shared" si="6"/>
        <v>0.46390034364261162</v>
      </c>
      <c r="R37" s="222">
        <f t="shared" ref="R37:R68" si="67">O37/Vout2</f>
        <v>0.46390034364261162</v>
      </c>
      <c r="S37" s="453">
        <f t="shared" ref="S37:S68" si="68">MIN(Vout,O37/F37)</f>
        <v>12</v>
      </c>
      <c r="T37" s="222">
        <f t="shared" ref="T37:T68" si="69">MIN(2*(Vout*F37+Vout2*G37)/(Efficiency*J37*N37), Isw_max)</f>
        <v>0.40008592910848562</v>
      </c>
      <c r="U37" s="222">
        <f t="shared" si="10"/>
        <v>1.4003007518796995</v>
      </c>
      <c r="V37" s="222">
        <f t="shared" si="11"/>
        <v>1.3717231855148075</v>
      </c>
      <c r="W37" s="202">
        <f t="shared" si="12"/>
        <v>350</v>
      </c>
      <c r="X37" s="453">
        <f t="shared" si="48"/>
        <v>350</v>
      </c>
      <c r="Z37" s="222">
        <f t="shared" si="13"/>
        <v>0.41237113402061859</v>
      </c>
      <c r="AA37" s="178">
        <f t="shared" si="14"/>
        <v>1.4138438880706923</v>
      </c>
      <c r="AB37" s="178">
        <f t="shared" ref="AB37:AB68" si="70">0.5*AA37*Z37*Nps*W37/1000*(Pout/Pout_total)</f>
        <v>0.20405994260814117</v>
      </c>
      <c r="AC37" s="178"/>
      <c r="AD37" s="178">
        <f t="shared" si="16"/>
        <v>0.99428571428571422</v>
      </c>
      <c r="AE37" s="562">
        <f t="shared" ref="AE37:AE68" si="71">MAX(10, F37/(0.5*AD37/1000000*Isw_min*Nps)/1000*Pout_total/Pout)</f>
        <v>443.91597304795891</v>
      </c>
      <c r="AF37" s="545">
        <f t="shared" ref="AF37:AF68" si="72">0.5*AD37/1000000*Isw_min*Nps*W37*1000*(Pout/Pout_total)</f>
        <v>0.10091999999999998</v>
      </c>
      <c r="AH37" s="178">
        <f t="shared" ref="AH37:AH68" si="73">SQRT((H37+I37)/(0.5*L*Fsw_DCM))</f>
        <v>0.39589732744431483</v>
      </c>
      <c r="AI37" s="178">
        <f t="shared" ref="AI37:AI68" si="74">MAX(IF(F37&gt;AB37,T37,AH37),Isw_min)</f>
        <v>0.39589732744431483</v>
      </c>
      <c r="AJ37" s="178">
        <f t="shared" ref="AJ37:AJ68" si="75">IF(F37&gt;AF37, (AI37-Isw_min)/1.08*0.8+1.2, AE37*0.2/350+1)</f>
        <v>1.2784424647735666</v>
      </c>
      <c r="AL37" s="562">
        <f t="shared" ref="AL37:AL68" si="76">F37*1000</f>
        <v>128</v>
      </c>
      <c r="AM37" s="471">
        <f t="shared" ref="AM37:AM68" si="77">IF(F37&gt;AF37, X37, AE37)</f>
        <v>350</v>
      </c>
      <c r="AO37">
        <f t="shared" si="49"/>
        <v>128</v>
      </c>
      <c r="AP37" s="471">
        <f t="shared" si="24"/>
        <v>350</v>
      </c>
      <c r="AQ37" s="471"/>
      <c r="AR37" s="5">
        <f t="shared" si="50"/>
        <v>2.8571428571428572</v>
      </c>
      <c r="AS37" s="5">
        <f t="shared" si="25"/>
        <v>1.3856406460551021</v>
      </c>
      <c r="AT37" s="5">
        <f t="shared" si="51"/>
        <v>1.4715022110877551</v>
      </c>
      <c r="AU37" s="178">
        <f t="shared" si="52"/>
        <v>0.4849742261192857</v>
      </c>
      <c r="AW37" s="5">
        <f t="shared" ref="AW37:AW68" si="78">F37*AS37/Vout_ripple*1000</f>
        <v>1.4780166891254423</v>
      </c>
      <c r="AX37" s="5">
        <f t="shared" ref="AX37:AX68" si="79">G37*AS37/Vout_ripple2*1000</f>
        <v>0.73900834456272113</v>
      </c>
      <c r="AY37" s="5">
        <f t="shared" si="28"/>
        <v>8.2610650447031864E-2</v>
      </c>
      <c r="AZ37" s="5"/>
      <c r="BA37" s="178">
        <f t="shared" si="53"/>
        <v>0.15917735063895289</v>
      </c>
      <c r="BB37" s="178">
        <f t="shared" ref="BB37:BB68" si="80">AI37*Npri_sec1*SQRT((1-AU37)/3)*(Pout/Pout_total)</f>
        <v>0.32806992548996333</v>
      </c>
      <c r="BC37" s="178">
        <f t="shared" ref="BC37:BC68" si="81">AI37*Npri_sec2*SQRT((1-AU37)/3)*(Pout2/Pout_total)</f>
        <v>0.16403496274498167</v>
      </c>
      <c r="BD37" s="178"/>
      <c r="BE37" s="545">
        <f t="shared" si="31"/>
        <v>8.8681001347526538E-3</v>
      </c>
      <c r="BF37" s="545">
        <f t="shared" si="32"/>
        <v>5.0402678500254317E-2</v>
      </c>
      <c r="BG37" s="545">
        <f t="shared" si="33"/>
        <v>4.3749999999999995E-3</v>
      </c>
      <c r="BH37" s="545">
        <f t="shared" si="34"/>
        <v>4.1164375000000003E-2</v>
      </c>
      <c r="BI37">
        <f t="shared" si="35"/>
        <v>6.96E-3</v>
      </c>
      <c r="BJ37">
        <f t="shared" ref="BJ37:BJ68" si="82">(BF37+BG37+BH37+BI37+BE37*(1+RdsonTC*(Ta-25)))/(1-BE37*RdsonTC*ThetaJA)</f>
        <v>0.11211465918941492</v>
      </c>
      <c r="BK37" s="471">
        <f t="shared" si="54"/>
        <v>112.11465918941492</v>
      </c>
      <c r="BL37" s="178">
        <f t="shared" ref="BL37:BL68" si="83">Vfwd2*F37*(1+Diode_TC/1000*(Ta-25))</f>
        <v>3.8399999999999997E-2</v>
      </c>
      <c r="BM37" s="178">
        <f t="shared" ref="BM37:BM68" si="84">Vfwd2*G37*(1+Diode_TC/1000*(Ta-25))</f>
        <v>1.9199999999999998E-2</v>
      </c>
      <c r="BN37" s="545"/>
      <c r="BP37" s="471">
        <f t="shared" si="55"/>
        <v>57.6</v>
      </c>
      <c r="BQ37" s="545">
        <f t="shared" si="39"/>
        <v>2.4070557508614346E-3</v>
      </c>
      <c r="BR37" s="545">
        <f t="shared" si="56"/>
        <v>9.6866888409891088E-3</v>
      </c>
      <c r="BS37" s="545">
        <f t="shared" ref="BS37:BS68" si="85">Rdcr_sec2*BC37^2</f>
        <v>2.6907469002747527E-3</v>
      </c>
      <c r="BT37" s="545">
        <f t="shared" si="41"/>
        <v>1.1300470872509598E-2</v>
      </c>
      <c r="BU37" s="545">
        <f t="shared" ref="BU37:BU68" si="86">(BT37+(BQ37+BR37+BS37)*(1+Ltc*(Ta-25)))/(1-(BQ37+BR37+BS37)*Ltc*ThetaCa)</f>
        <v>2.61158511309433E-2</v>
      </c>
      <c r="BV37" s="655">
        <f t="shared" ref="BV37:BV68" si="87">0.5*Lleak*0.000000001*AI37^2*AM37*1000</f>
        <v>1.2342857142857145E-2</v>
      </c>
      <c r="BW37" s="471">
        <f t="shared" si="57"/>
        <v>38.458708273800447</v>
      </c>
      <c r="BX37" s="178">
        <f t="shared" si="58"/>
        <v>0.20817336746321538</v>
      </c>
      <c r="BY37" s="5">
        <f t="shared" si="59"/>
        <v>2.3040000000000003</v>
      </c>
      <c r="BZ37" s="178">
        <f t="shared" si="60"/>
        <v>0.91713415556449907</v>
      </c>
      <c r="CA37" s="5">
        <f t="shared" si="61"/>
        <v>91.713415556449903</v>
      </c>
      <c r="CB37">
        <f t="shared" si="62"/>
        <v>32</v>
      </c>
      <c r="CD37" s="580">
        <f t="shared" ref="CD37:CD68" si="88">IF(ABS(F37-Ioutmax_Vinnom)&lt;Iout/200, AM37, -50)</f>
        <v>-50</v>
      </c>
      <c r="CE37">
        <f t="shared" ref="CE37:CE68" si="89">IF(ABS(F37-Ioutmax_Vinnom)&lt;Iout/200, (O37+P37)*BZ37, -50)</f>
        <v>-50</v>
      </c>
    </row>
    <row r="38" spans="5:83" x14ac:dyDescent="0.2">
      <c r="E38" s="175">
        <v>33</v>
      </c>
      <c r="F38" s="222">
        <f t="shared" si="63"/>
        <v>0.13200000000000001</v>
      </c>
      <c r="G38" s="222">
        <f t="shared" ref="G38:G69" si="90">IF(PLOT_TYPE=1, E38/100*Iout2, min_I*EXP(Q38*rr/100))</f>
        <v>6.6000000000000003E-2</v>
      </c>
      <c r="H38" s="222">
        <f t="shared" si="65"/>
        <v>1.5840000000000001</v>
      </c>
      <c r="I38" s="222">
        <f t="shared" si="64"/>
        <v>0.79200000000000004</v>
      </c>
      <c r="J38" s="558">
        <f t="shared" si="1"/>
        <v>24</v>
      </c>
      <c r="K38" s="453">
        <f t="shared" si="2"/>
        <v>24.5</v>
      </c>
      <c r="L38" s="453">
        <f t="shared" si="3"/>
        <v>48.5</v>
      </c>
      <c r="M38" s="453"/>
      <c r="N38" s="222">
        <f t="shared" si="4"/>
        <v>0.50515463917525771</v>
      </c>
      <c r="O38" s="177">
        <f t="shared" ref="O38:O69" si="91">N38*J38*Isw_max*0.5*Efficiency*Pout/(Pout+Pout2)</f>
        <v>5.5668041237113393</v>
      </c>
      <c r="P38" s="177">
        <f t="shared" si="66"/>
        <v>4.1751030927835044</v>
      </c>
      <c r="Q38" s="222">
        <f t="shared" si="6"/>
        <v>0.46390034364261162</v>
      </c>
      <c r="R38" s="222">
        <f t="shared" si="67"/>
        <v>0.46390034364261162</v>
      </c>
      <c r="S38" s="453">
        <f t="shared" si="68"/>
        <v>12</v>
      </c>
      <c r="T38" s="222">
        <f t="shared" si="69"/>
        <v>0.41258861439312577</v>
      </c>
      <c r="U38" s="222">
        <f t="shared" si="10"/>
        <v>1.4440601503759403</v>
      </c>
      <c r="V38" s="222">
        <f t="shared" si="11"/>
        <v>1.4145895350621456</v>
      </c>
      <c r="W38" s="202">
        <f t="shared" si="12"/>
        <v>350</v>
      </c>
      <c r="X38" s="453">
        <f t="shared" si="48"/>
        <v>349.81551083155921</v>
      </c>
      <c r="Z38" s="222">
        <f t="shared" si="13"/>
        <v>0.41237113402061859</v>
      </c>
      <c r="AA38" s="178">
        <f t="shared" si="14"/>
        <v>1.4138438880706923</v>
      </c>
      <c r="AB38" s="178">
        <f t="shared" si="70"/>
        <v>0.20405994260814117</v>
      </c>
      <c r="AC38" s="178"/>
      <c r="AD38" s="178">
        <f t="shared" si="16"/>
        <v>0.99428571428571422</v>
      </c>
      <c r="AE38" s="562">
        <f t="shared" si="71"/>
        <v>457.78834720570757</v>
      </c>
      <c r="AF38" s="545">
        <f t="shared" si="72"/>
        <v>0.10091999999999998</v>
      </c>
      <c r="AH38" s="178">
        <f t="shared" si="73"/>
        <v>0.40203563655629398</v>
      </c>
      <c r="AI38" s="178">
        <f t="shared" si="74"/>
        <v>0.40203563655629398</v>
      </c>
      <c r="AJ38" s="178">
        <f t="shared" si="75"/>
        <v>1.2829893604120697</v>
      </c>
      <c r="AL38" s="562">
        <f t="shared" si="76"/>
        <v>132</v>
      </c>
      <c r="AM38" s="471">
        <f t="shared" si="77"/>
        <v>349.81551083155921</v>
      </c>
      <c r="AO38">
        <f t="shared" si="49"/>
        <v>132</v>
      </c>
      <c r="AP38" s="471">
        <f t="shared" si="24"/>
        <v>349.81551083155921</v>
      </c>
      <c r="AQ38" s="471"/>
      <c r="AR38" s="5">
        <f t="shared" si="50"/>
        <v>2.8586496854380856</v>
      </c>
      <c r="AS38" s="5">
        <f t="shared" si="25"/>
        <v>1.4071247279470289</v>
      </c>
      <c r="AT38" s="5">
        <f t="shared" si="51"/>
        <v>1.4515249574910567</v>
      </c>
      <c r="AU38" s="178">
        <f t="shared" si="52"/>
        <v>0.49223405551050869</v>
      </c>
      <c r="AW38" s="5">
        <f t="shared" si="78"/>
        <v>1.5478372007417318</v>
      </c>
      <c r="AX38" s="5">
        <f t="shared" si="79"/>
        <v>0.77391860037086591</v>
      </c>
      <c r="AY38" s="5">
        <f t="shared" si="28"/>
        <v>8.4035655433692763E-2</v>
      </c>
      <c r="AZ38" s="5"/>
      <c r="BA38" s="178">
        <f t="shared" si="53"/>
        <v>0.16285074589865978</v>
      </c>
      <c r="BB38" s="178">
        <f t="shared" si="80"/>
        <v>0.33080015465932489</v>
      </c>
      <c r="BC38" s="178">
        <f t="shared" si="81"/>
        <v>0.16540007732966244</v>
      </c>
      <c r="BD38" s="178"/>
      <c r="BE38" s="545">
        <f t="shared" si="31"/>
        <v>9.2821279039124495E-3</v>
      </c>
      <c r="BF38" s="545">
        <f t="shared" si="32"/>
        <v>5.1157182197699297E-2</v>
      </c>
      <c r="BG38" s="545">
        <f t="shared" si="33"/>
        <v>4.3726938853944899E-3</v>
      </c>
      <c r="BH38" s="545">
        <f t="shared" si="34"/>
        <v>4.1142676767676759E-2</v>
      </c>
      <c r="BI38">
        <f t="shared" si="35"/>
        <v>6.96E-3</v>
      </c>
      <c r="BJ38">
        <f t="shared" si="82"/>
        <v>0.11327901521642859</v>
      </c>
      <c r="BK38" s="471">
        <f t="shared" si="54"/>
        <v>113.27901521642859</v>
      </c>
      <c r="BL38" s="178">
        <f t="shared" si="83"/>
        <v>3.9600000000000003E-2</v>
      </c>
      <c r="BM38" s="178">
        <f t="shared" si="84"/>
        <v>1.9800000000000002E-2</v>
      </c>
      <c r="BN38" s="545"/>
      <c r="BP38" s="471">
        <f t="shared" si="55"/>
        <v>59.400000000000006</v>
      </c>
      <c r="BQ38" s="545">
        <f t="shared" si="39"/>
        <v>2.5194347167762361E-3</v>
      </c>
      <c r="BR38" s="545">
        <f t="shared" si="56"/>
        <v>9.8485868090369931E-3</v>
      </c>
      <c r="BS38" s="545">
        <f t="shared" si="85"/>
        <v>2.7357185580658317E-3</v>
      </c>
      <c r="BT38" s="545">
        <f t="shared" si="41"/>
        <v>1.1728137171108778E-2</v>
      </c>
      <c r="BU38" s="545">
        <f t="shared" si="86"/>
        <v>2.6864337412572249E-2</v>
      </c>
      <c r="BV38" s="655">
        <f t="shared" si="87"/>
        <v>1.2721862046976298E-2</v>
      </c>
      <c r="BW38" s="471">
        <f t="shared" si="57"/>
        <v>39.586199459548546</v>
      </c>
      <c r="BX38" s="178">
        <f t="shared" si="58"/>
        <v>0.21226521467597714</v>
      </c>
      <c r="BY38" s="5">
        <f t="shared" si="59"/>
        <v>2.3760000000000003</v>
      </c>
      <c r="BZ38" s="178">
        <f t="shared" si="60"/>
        <v>0.91798938784464934</v>
      </c>
      <c r="CA38" s="5">
        <f t="shared" si="61"/>
        <v>91.798938784464937</v>
      </c>
      <c r="CB38">
        <f t="shared" ref="CB38:CB69" si="92">F38/Iout*100</f>
        <v>33</v>
      </c>
      <c r="CD38" s="580">
        <f t="shared" si="88"/>
        <v>-50</v>
      </c>
      <c r="CE38">
        <f t="shared" si="89"/>
        <v>-50</v>
      </c>
    </row>
    <row r="39" spans="5:83" x14ac:dyDescent="0.2">
      <c r="E39" s="175">
        <v>34</v>
      </c>
      <c r="F39" s="222">
        <f t="shared" si="63"/>
        <v>0.13600000000000001</v>
      </c>
      <c r="G39" s="222">
        <f t="shared" si="90"/>
        <v>6.8000000000000005E-2</v>
      </c>
      <c r="H39" s="222">
        <f t="shared" si="65"/>
        <v>1.6320000000000001</v>
      </c>
      <c r="I39" s="222">
        <f t="shared" si="64"/>
        <v>0.81600000000000006</v>
      </c>
      <c r="J39" s="558">
        <f t="shared" si="1"/>
        <v>24</v>
      </c>
      <c r="K39" s="453">
        <f t="shared" si="2"/>
        <v>24.5</v>
      </c>
      <c r="L39" s="453">
        <f t="shared" si="3"/>
        <v>48.5</v>
      </c>
      <c r="M39" s="453"/>
      <c r="N39" s="222">
        <f t="shared" si="4"/>
        <v>0.50515463917525771</v>
      </c>
      <c r="O39" s="177">
        <f t="shared" si="91"/>
        <v>5.5668041237113393</v>
      </c>
      <c r="P39" s="177">
        <f t="shared" si="66"/>
        <v>4.1751030927835044</v>
      </c>
      <c r="Q39" s="222">
        <f t="shared" si="6"/>
        <v>0.46390034364261162</v>
      </c>
      <c r="R39" s="222">
        <f t="shared" si="67"/>
        <v>0.46390034364261162</v>
      </c>
      <c r="S39" s="453">
        <f t="shared" si="68"/>
        <v>12</v>
      </c>
      <c r="T39" s="222">
        <f t="shared" si="69"/>
        <v>0.42509129967776599</v>
      </c>
      <c r="U39" s="222">
        <f t="shared" si="10"/>
        <v>1.4878195488721808</v>
      </c>
      <c r="V39" s="222">
        <f t="shared" si="11"/>
        <v>1.4574558846094832</v>
      </c>
      <c r="W39" s="202">
        <f t="shared" si="12"/>
        <v>350</v>
      </c>
      <c r="X39" s="453">
        <f t="shared" si="48"/>
        <v>339.52681933651337</v>
      </c>
      <c r="Z39" s="222">
        <f t="shared" si="13"/>
        <v>0.41237113402061859</v>
      </c>
      <c r="AA39" s="178">
        <f t="shared" si="14"/>
        <v>1.4138438880706923</v>
      </c>
      <c r="AB39" s="178">
        <f t="shared" si="70"/>
        <v>0.20405994260814117</v>
      </c>
      <c r="AC39" s="178"/>
      <c r="AD39" s="178">
        <f t="shared" si="16"/>
        <v>0.99428571428571422</v>
      </c>
      <c r="AE39" s="562">
        <f t="shared" si="71"/>
        <v>471.66072136345633</v>
      </c>
      <c r="AF39" s="545">
        <f t="shared" si="72"/>
        <v>0.10091999999999998</v>
      </c>
      <c r="AH39" s="178">
        <f t="shared" si="73"/>
        <v>0.40808162448816288</v>
      </c>
      <c r="AI39" s="178">
        <f t="shared" si="74"/>
        <v>0.40808162448816288</v>
      </c>
      <c r="AJ39" s="178">
        <f t="shared" si="75"/>
        <v>1.2874678699912316</v>
      </c>
      <c r="AL39" s="562">
        <f t="shared" si="76"/>
        <v>136</v>
      </c>
      <c r="AM39" s="471">
        <f t="shared" si="77"/>
        <v>339.52681933651337</v>
      </c>
      <c r="AO39">
        <f t="shared" si="49"/>
        <v>136</v>
      </c>
      <c r="AP39" s="471">
        <f t="shared" si="24"/>
        <v>339.52681933651337</v>
      </c>
      <c r="AQ39" s="471"/>
      <c r="AR39" s="5">
        <f t="shared" si="50"/>
        <v>2.945275433481664</v>
      </c>
      <c r="AS39" s="5">
        <f t="shared" si="25"/>
        <v>1.42828568570857</v>
      </c>
      <c r="AT39" s="5">
        <f t="shared" si="51"/>
        <v>1.516989747773094</v>
      </c>
      <c r="AU39" s="178">
        <f t="shared" si="52"/>
        <v>0.48494129597250174</v>
      </c>
      <c r="AW39" s="5">
        <f t="shared" si="78"/>
        <v>1.6187237771363794</v>
      </c>
      <c r="AX39" s="5">
        <f t="shared" si="79"/>
        <v>0.80936188856818969</v>
      </c>
      <c r="AY39" s="5">
        <f t="shared" si="28"/>
        <v>9.0487107761903857E-2</v>
      </c>
      <c r="AZ39" s="5"/>
      <c r="BA39" s="178">
        <f t="shared" si="53"/>
        <v>0.16407068692196358</v>
      </c>
      <c r="BB39" s="178">
        <f t="shared" si="80"/>
        <v>0.33817754966637076</v>
      </c>
      <c r="BC39" s="178">
        <f t="shared" si="81"/>
        <v>0.16908877483318538</v>
      </c>
      <c r="BD39" s="178"/>
      <c r="BE39" s="545">
        <f t="shared" si="31"/>
        <v>9.4217166074657462E-3</v>
      </c>
      <c r="BF39" s="545">
        <f t="shared" si="32"/>
        <v>5.039925611714214E-2</v>
      </c>
      <c r="BG39" s="545">
        <f t="shared" si="33"/>
        <v>4.2440852417064169E-3</v>
      </c>
      <c r="BH39" s="545">
        <f t="shared" si="34"/>
        <v>3.9932598039215679E-2</v>
      </c>
      <c r="BI39">
        <f t="shared" si="35"/>
        <v>6.96E-3</v>
      </c>
      <c r="BJ39">
        <f t="shared" si="82"/>
        <v>0.11132107755658341</v>
      </c>
      <c r="BK39" s="471">
        <f t="shared" si="54"/>
        <v>111.3210775565834</v>
      </c>
      <c r="BL39" s="178">
        <f t="shared" si="83"/>
        <v>4.0800000000000003E-2</v>
      </c>
      <c r="BM39" s="178">
        <f t="shared" si="84"/>
        <v>2.0400000000000001E-2</v>
      </c>
      <c r="BN39" s="545"/>
      <c r="BP39" s="471">
        <f t="shared" si="55"/>
        <v>61.2</v>
      </c>
      <c r="BQ39" s="545">
        <f t="shared" si="39"/>
        <v>2.5573230791692742E-3</v>
      </c>
      <c r="BR39" s="545">
        <f t="shared" si="56"/>
        <v>1.029276495885156E-2</v>
      </c>
      <c r="BS39" s="545">
        <f t="shared" si="85"/>
        <v>2.8591013774587667E-3</v>
      </c>
      <c r="BT39" s="545">
        <f t="shared" si="41"/>
        <v>1.129855269215084E-2</v>
      </c>
      <c r="BU39" s="545">
        <f t="shared" si="86"/>
        <v>2.704172639579629E-2</v>
      </c>
      <c r="BV39" s="655">
        <f t="shared" si="87"/>
        <v>1.27218620469763E-2</v>
      </c>
      <c r="BW39" s="471">
        <f t="shared" si="57"/>
        <v>39.763588442772594</v>
      </c>
      <c r="BX39" s="178">
        <f t="shared" si="58"/>
        <v>0.21228466599935603</v>
      </c>
      <c r="BY39" s="5">
        <f t="shared" si="59"/>
        <v>2.4480000000000004</v>
      </c>
      <c r="BZ39" s="178">
        <f t="shared" si="60"/>
        <v>0.92020227432329704</v>
      </c>
      <c r="CA39" s="5">
        <f t="shared" si="61"/>
        <v>92.020227432329705</v>
      </c>
      <c r="CB39">
        <f t="shared" si="92"/>
        <v>34</v>
      </c>
      <c r="CD39" s="580">
        <f t="shared" si="88"/>
        <v>-50</v>
      </c>
      <c r="CE39">
        <f t="shared" si="89"/>
        <v>-50</v>
      </c>
    </row>
    <row r="40" spans="5:83" x14ac:dyDescent="0.2">
      <c r="E40" s="175">
        <v>35</v>
      </c>
      <c r="F40" s="222">
        <f t="shared" ref="F40:F71" si="93">IF(PLOT_TYPE=1, E40/100*Iout_max, min_I*EXP(O40*rr/100))</f>
        <v>0.13999999999999999</v>
      </c>
      <c r="G40" s="222">
        <f t="shared" si="90"/>
        <v>6.9999999999999993E-2</v>
      </c>
      <c r="H40" s="222">
        <f t="shared" si="65"/>
        <v>1.6799999999999997</v>
      </c>
      <c r="I40" s="222">
        <f t="shared" ref="I40:I71" si="94">Vout2*G40</f>
        <v>0.83999999999999986</v>
      </c>
      <c r="J40" s="558">
        <f t="shared" si="1"/>
        <v>24</v>
      </c>
      <c r="K40" s="453">
        <f t="shared" si="2"/>
        <v>24.5</v>
      </c>
      <c r="L40" s="453">
        <f t="shared" si="3"/>
        <v>48.5</v>
      </c>
      <c r="M40" s="453"/>
      <c r="N40" s="222">
        <f t="shared" si="4"/>
        <v>0.50515463917525771</v>
      </c>
      <c r="O40" s="177">
        <f t="shared" si="91"/>
        <v>5.5668041237113393</v>
      </c>
      <c r="P40" s="177">
        <f t="shared" si="66"/>
        <v>4.1751030927835044</v>
      </c>
      <c r="Q40" s="222">
        <f t="shared" si="6"/>
        <v>0.46390034364261162</v>
      </c>
      <c r="R40" s="222">
        <f t="shared" si="67"/>
        <v>0.46390034364261162</v>
      </c>
      <c r="S40" s="453">
        <f t="shared" si="68"/>
        <v>12</v>
      </c>
      <c r="T40" s="222">
        <f t="shared" si="69"/>
        <v>0.43759398496240604</v>
      </c>
      <c r="U40" s="222">
        <f t="shared" si="10"/>
        <v>1.5315789473684212</v>
      </c>
      <c r="V40" s="222">
        <f t="shared" si="11"/>
        <v>1.5003222341568205</v>
      </c>
      <c r="W40" s="202">
        <f t="shared" si="12"/>
        <v>350</v>
      </c>
      <c r="X40" s="453">
        <f t="shared" si="48"/>
        <v>329.82605306975591</v>
      </c>
      <c r="Z40" s="222">
        <f t="shared" si="13"/>
        <v>0.41237113402061859</v>
      </c>
      <c r="AA40" s="178">
        <f t="shared" si="14"/>
        <v>1.4138438880706923</v>
      </c>
      <c r="AB40" s="178">
        <f t="shared" si="70"/>
        <v>0.20405994260814117</v>
      </c>
      <c r="AC40" s="178"/>
      <c r="AD40" s="178">
        <f t="shared" si="16"/>
        <v>0.99428571428571422</v>
      </c>
      <c r="AE40" s="562">
        <f t="shared" si="71"/>
        <v>485.53309552120504</v>
      </c>
      <c r="AF40" s="545">
        <f t="shared" si="72"/>
        <v>0.10091999999999998</v>
      </c>
      <c r="AH40" s="178">
        <f t="shared" si="73"/>
        <v>0.41403933560541251</v>
      </c>
      <c r="AI40" s="178">
        <f t="shared" si="74"/>
        <v>0.41403933560541251</v>
      </c>
      <c r="AJ40" s="178">
        <f t="shared" si="75"/>
        <v>1.2918809893373426</v>
      </c>
      <c r="AL40" s="562">
        <f t="shared" si="76"/>
        <v>139.99999999999997</v>
      </c>
      <c r="AM40" s="471">
        <f t="shared" si="77"/>
        <v>329.82605306975591</v>
      </c>
      <c r="AO40">
        <f t="shared" si="49"/>
        <v>139.99999999999997</v>
      </c>
      <c r="AP40" s="471">
        <f t="shared" si="24"/>
        <v>329.82605306975591</v>
      </c>
      <c r="AQ40" s="471"/>
      <c r="AR40" s="5">
        <f t="shared" si="50"/>
        <v>3.0319011815252415</v>
      </c>
      <c r="AS40" s="5">
        <f t="shared" si="25"/>
        <v>1.4491376746189435</v>
      </c>
      <c r="AT40" s="5">
        <f t="shared" si="51"/>
        <v>1.582763506906298</v>
      </c>
      <c r="AU40" s="178">
        <f t="shared" si="52"/>
        <v>0.47796335957425035</v>
      </c>
      <c r="AW40" s="5">
        <f t="shared" si="78"/>
        <v>1.6906606203887673</v>
      </c>
      <c r="AX40" s="5">
        <f t="shared" si="79"/>
        <v>0.84533031019438365</v>
      </c>
      <c r="AY40" s="5">
        <f t="shared" si="28"/>
        <v>9.7187232880211263E-2</v>
      </c>
      <c r="AZ40" s="5"/>
      <c r="BA40" s="178">
        <f t="shared" si="53"/>
        <v>0.16526400689705986</v>
      </c>
      <c r="BB40" s="178">
        <f t="shared" si="80"/>
        <v>0.34543112290114042</v>
      </c>
      <c r="BC40" s="178">
        <f t="shared" si="81"/>
        <v>0.17271556145057021</v>
      </c>
      <c r="BD40" s="178"/>
      <c r="BE40" s="545">
        <f t="shared" si="31"/>
        <v>9.5592671914850064E-3</v>
      </c>
      <c r="BF40" s="545">
        <f t="shared" si="32"/>
        <v>4.9674049155752451E-2</v>
      </c>
      <c r="BG40" s="545">
        <f t="shared" si="33"/>
        <v>4.1228256633719486E-3</v>
      </c>
      <c r="BH40" s="545">
        <f t="shared" si="34"/>
        <v>3.8791666666666669E-2</v>
      </c>
      <c r="BI40">
        <f t="shared" si="35"/>
        <v>6.96E-3</v>
      </c>
      <c r="BJ40">
        <f t="shared" si="82"/>
        <v>0.10947040597937598</v>
      </c>
      <c r="BK40" s="471">
        <f t="shared" si="54"/>
        <v>109.47040597937598</v>
      </c>
      <c r="BL40" s="178">
        <f t="shared" si="83"/>
        <v>4.1999999999999996E-2</v>
      </c>
      <c r="BM40" s="178">
        <f t="shared" si="84"/>
        <v>2.0999999999999998E-2</v>
      </c>
      <c r="BN40" s="545"/>
      <c r="BP40" s="471">
        <f t="shared" si="55"/>
        <v>63</v>
      </c>
      <c r="BQ40" s="545">
        <f t="shared" si="39"/>
        <v>2.5946582376887876E-3</v>
      </c>
      <c r="BR40" s="545">
        <f t="shared" si="56"/>
        <v>1.0739039460186849E-2</v>
      </c>
      <c r="BS40" s="545">
        <f t="shared" si="85"/>
        <v>2.9830665167185698E-3</v>
      </c>
      <c r="BT40" s="545">
        <f t="shared" si="41"/>
        <v>1.0896484519673578E-2</v>
      </c>
      <c r="BU40" s="545">
        <f t="shared" si="86"/>
        <v>2.7248817736999071E-2</v>
      </c>
      <c r="BV40" s="655">
        <f t="shared" si="87"/>
        <v>1.2721862046976298E-2</v>
      </c>
      <c r="BW40" s="471">
        <f t="shared" si="57"/>
        <v>39.970679783975363</v>
      </c>
      <c r="BX40" s="178">
        <f t="shared" si="58"/>
        <v>0.21244108576335136</v>
      </c>
      <c r="BY40" s="5">
        <f t="shared" si="59"/>
        <v>2.5199999999999996</v>
      </c>
      <c r="BZ40" s="178">
        <f t="shared" si="60"/>
        <v>0.92225227220077377</v>
      </c>
      <c r="CA40" s="5">
        <f t="shared" si="61"/>
        <v>92.225227220077372</v>
      </c>
      <c r="CB40">
        <f t="shared" si="92"/>
        <v>34.999999999999993</v>
      </c>
      <c r="CD40" s="580">
        <f t="shared" si="88"/>
        <v>-50</v>
      </c>
      <c r="CE40">
        <f t="shared" si="89"/>
        <v>-50</v>
      </c>
    </row>
    <row r="41" spans="5:83" x14ac:dyDescent="0.2">
      <c r="E41" s="175">
        <v>36</v>
      </c>
      <c r="F41" s="222">
        <f t="shared" si="93"/>
        <v>0.14399999999999999</v>
      </c>
      <c r="G41" s="222">
        <f t="shared" si="90"/>
        <v>7.1999999999999995E-2</v>
      </c>
      <c r="H41" s="222">
        <f t="shared" si="65"/>
        <v>1.7279999999999998</v>
      </c>
      <c r="I41" s="222">
        <f t="shared" si="94"/>
        <v>0.86399999999999988</v>
      </c>
      <c r="J41" s="558">
        <f t="shared" si="1"/>
        <v>24</v>
      </c>
      <c r="K41" s="453">
        <f t="shared" si="2"/>
        <v>24.5</v>
      </c>
      <c r="L41" s="453">
        <f t="shared" si="3"/>
        <v>48.5</v>
      </c>
      <c r="M41" s="453"/>
      <c r="N41" s="222">
        <f t="shared" si="4"/>
        <v>0.50515463917525771</v>
      </c>
      <c r="O41" s="177">
        <f t="shared" si="91"/>
        <v>5.5668041237113393</v>
      </c>
      <c r="P41" s="177">
        <f t="shared" si="66"/>
        <v>4.1751030927835044</v>
      </c>
      <c r="Q41" s="222">
        <f t="shared" si="6"/>
        <v>0.46390034364261162</v>
      </c>
      <c r="R41" s="222">
        <f t="shared" si="67"/>
        <v>0.46390034364261162</v>
      </c>
      <c r="S41" s="453">
        <f t="shared" si="68"/>
        <v>12</v>
      </c>
      <c r="T41" s="222">
        <f t="shared" si="69"/>
        <v>0.45009667024704619</v>
      </c>
      <c r="U41" s="222">
        <f t="shared" si="10"/>
        <v>1.5753383458646617</v>
      </c>
      <c r="V41" s="222">
        <f t="shared" si="11"/>
        <v>1.5431885837041583</v>
      </c>
      <c r="W41" s="202">
        <f t="shared" si="12"/>
        <v>350</v>
      </c>
      <c r="X41" s="453">
        <f t="shared" si="48"/>
        <v>320.66421826226264</v>
      </c>
      <c r="Z41" s="222">
        <f t="shared" si="13"/>
        <v>0.41237113402061859</v>
      </c>
      <c r="AA41" s="178">
        <f t="shared" si="14"/>
        <v>1.4138438880706923</v>
      </c>
      <c r="AB41" s="178">
        <f t="shared" si="70"/>
        <v>0.20405994260814117</v>
      </c>
      <c r="AC41" s="178"/>
      <c r="AD41" s="178">
        <f t="shared" si="16"/>
        <v>0.99428571428571422</v>
      </c>
      <c r="AE41" s="562">
        <f t="shared" si="71"/>
        <v>499.40546967895369</v>
      </c>
      <c r="AF41" s="545">
        <f t="shared" si="72"/>
        <v>0.10091999999999998</v>
      </c>
      <c r="AH41" s="178">
        <f t="shared" si="73"/>
        <v>0.4199125273342591</v>
      </c>
      <c r="AI41" s="178">
        <f t="shared" si="74"/>
        <v>0.4199125273342591</v>
      </c>
      <c r="AJ41" s="178">
        <f t="shared" si="75"/>
        <v>1.2962315017290809</v>
      </c>
      <c r="AL41" s="562">
        <f t="shared" si="76"/>
        <v>144</v>
      </c>
      <c r="AM41" s="471">
        <f t="shared" si="77"/>
        <v>320.66421826226264</v>
      </c>
      <c r="AO41">
        <f t="shared" si="49"/>
        <v>144</v>
      </c>
      <c r="AP41" s="471">
        <f t="shared" si="24"/>
        <v>320.66421826226264</v>
      </c>
      <c r="AQ41" s="471"/>
      <c r="AR41" s="5">
        <f t="shared" si="50"/>
        <v>3.1185269295688203</v>
      </c>
      <c r="AS41" s="5">
        <f t="shared" si="25"/>
        <v>1.4696938456699069</v>
      </c>
      <c r="AT41" s="5">
        <f t="shared" si="51"/>
        <v>1.6488330838989134</v>
      </c>
      <c r="AU41" s="178">
        <f t="shared" si="52"/>
        <v>0.4712782281065992</v>
      </c>
      <c r="AW41" s="5">
        <f t="shared" si="78"/>
        <v>1.7636326148038881</v>
      </c>
      <c r="AX41" s="5">
        <f t="shared" si="79"/>
        <v>0.88181630740194406</v>
      </c>
      <c r="AY41" s="5">
        <f t="shared" si="28"/>
        <v>0.10413682635151029</v>
      </c>
      <c r="AZ41" s="5"/>
      <c r="BA41" s="178">
        <f t="shared" si="53"/>
        <v>0.16643202307561167</v>
      </c>
      <c r="BB41" s="178">
        <f t="shared" si="80"/>
        <v>0.35256711076923042</v>
      </c>
      <c r="BC41" s="178">
        <f t="shared" si="81"/>
        <v>0.17628355538461521</v>
      </c>
      <c r="BD41" s="178"/>
      <c r="BE41" s="545">
        <f t="shared" si="31"/>
        <v>9.694866406764327E-3</v>
      </c>
      <c r="BF41" s="545">
        <f t="shared" si="32"/>
        <v>4.8979272992507261E-2</v>
      </c>
      <c r="BG41" s="545">
        <f t="shared" si="33"/>
        <v>4.0083027282782823E-3</v>
      </c>
      <c r="BH41" s="545">
        <f t="shared" si="34"/>
        <v>3.771412037037037E-2</v>
      </c>
      <c r="BI41">
        <f t="shared" si="35"/>
        <v>6.96E-3</v>
      </c>
      <c r="BJ41">
        <f t="shared" si="82"/>
        <v>0.10771841787787809</v>
      </c>
      <c r="BK41" s="471">
        <f t="shared" si="54"/>
        <v>107.71841787787808</v>
      </c>
      <c r="BL41" s="178">
        <f t="shared" si="83"/>
        <v>4.3199999999999995E-2</v>
      </c>
      <c r="BM41" s="178">
        <f t="shared" si="84"/>
        <v>2.1599999999999998E-2</v>
      </c>
      <c r="BN41" s="545"/>
      <c r="BP41" s="471">
        <f t="shared" si="55"/>
        <v>64.8</v>
      </c>
      <c r="BQ41" s="545">
        <f t="shared" si="39"/>
        <v>2.631463738978889E-3</v>
      </c>
      <c r="BR41" s="545">
        <f t="shared" si="56"/>
        <v>1.1187321083654651E-2</v>
      </c>
      <c r="BS41" s="545">
        <f t="shared" si="85"/>
        <v>3.1075891899040699E-3</v>
      </c>
      <c r="BT41" s="545">
        <f t="shared" si="41"/>
        <v>1.0519457314183656E-2</v>
      </c>
      <c r="BU41" s="545">
        <f t="shared" si="86"/>
        <v>2.7483046392500737E-2</v>
      </c>
      <c r="BV41" s="655">
        <f t="shared" si="87"/>
        <v>1.2721862046976298E-2</v>
      </c>
      <c r="BW41" s="471">
        <f t="shared" si="57"/>
        <v>40.204908439477038</v>
      </c>
      <c r="BX41" s="178">
        <f t="shared" si="58"/>
        <v>0.21272332631735513</v>
      </c>
      <c r="BY41" s="5">
        <f t="shared" si="59"/>
        <v>2.5919999999999996</v>
      </c>
      <c r="BZ41" s="178">
        <f t="shared" si="60"/>
        <v>0.92415532600976225</v>
      </c>
      <c r="CA41" s="5">
        <f t="shared" si="61"/>
        <v>92.415532600976221</v>
      </c>
      <c r="CB41">
        <f t="shared" si="92"/>
        <v>35.999999999999993</v>
      </c>
      <c r="CD41" s="580">
        <f t="shared" si="88"/>
        <v>-50</v>
      </c>
      <c r="CE41">
        <f t="shared" si="89"/>
        <v>-50</v>
      </c>
    </row>
    <row r="42" spans="5:83" x14ac:dyDescent="0.2">
      <c r="E42" s="175">
        <v>37</v>
      </c>
      <c r="F42" s="222">
        <f t="shared" si="93"/>
        <v>0.14799999999999999</v>
      </c>
      <c r="G42" s="222">
        <f t="shared" si="90"/>
        <v>7.3999999999999996E-2</v>
      </c>
      <c r="H42" s="222">
        <f t="shared" si="65"/>
        <v>1.7759999999999998</v>
      </c>
      <c r="I42" s="222">
        <f t="shared" si="94"/>
        <v>0.8879999999999999</v>
      </c>
      <c r="J42" s="558">
        <f t="shared" si="1"/>
        <v>24</v>
      </c>
      <c r="K42" s="453">
        <f t="shared" si="2"/>
        <v>24.5</v>
      </c>
      <c r="L42" s="453">
        <f t="shared" si="3"/>
        <v>48.5</v>
      </c>
      <c r="M42" s="453"/>
      <c r="N42" s="222">
        <f t="shared" si="4"/>
        <v>0.50515463917525771</v>
      </c>
      <c r="O42" s="177">
        <f t="shared" si="91"/>
        <v>5.5668041237113393</v>
      </c>
      <c r="P42" s="177">
        <f t="shared" si="66"/>
        <v>4.1751030927835044</v>
      </c>
      <c r="Q42" s="222">
        <f t="shared" si="6"/>
        <v>0.46390034364261162</v>
      </c>
      <c r="R42" s="222">
        <f t="shared" si="67"/>
        <v>0.46390034364261162</v>
      </c>
      <c r="S42" s="453">
        <f t="shared" si="68"/>
        <v>12</v>
      </c>
      <c r="T42" s="222">
        <f t="shared" si="69"/>
        <v>0.46259935553168641</v>
      </c>
      <c r="U42" s="222">
        <f t="shared" si="10"/>
        <v>1.6190977443609025</v>
      </c>
      <c r="V42" s="222">
        <f t="shared" si="11"/>
        <v>1.5860549332514962</v>
      </c>
      <c r="W42" s="202">
        <f t="shared" si="12"/>
        <v>350</v>
      </c>
      <c r="X42" s="453">
        <f t="shared" si="48"/>
        <v>311.99761776868803</v>
      </c>
      <c r="Z42" s="222">
        <f t="shared" si="13"/>
        <v>0.41237113402061859</v>
      </c>
      <c r="AA42" s="178">
        <f t="shared" si="14"/>
        <v>1.4138438880706923</v>
      </c>
      <c r="AB42" s="178">
        <f t="shared" si="70"/>
        <v>0.20405994260814117</v>
      </c>
      <c r="AC42" s="178"/>
      <c r="AD42" s="178">
        <f t="shared" si="16"/>
        <v>0.99428571428571422</v>
      </c>
      <c r="AE42" s="562">
        <f t="shared" si="71"/>
        <v>513.27784383670246</v>
      </c>
      <c r="AF42" s="545">
        <f t="shared" si="72"/>
        <v>0.10091999999999998</v>
      </c>
      <c r="AH42" s="178">
        <f t="shared" si="73"/>
        <v>0.42570469787860971</v>
      </c>
      <c r="AI42" s="178">
        <f t="shared" si="74"/>
        <v>0.42570469787860971</v>
      </c>
      <c r="AJ42" s="178">
        <f t="shared" si="75"/>
        <v>1.3005219984285998</v>
      </c>
      <c r="AL42" s="562">
        <f t="shared" si="76"/>
        <v>148</v>
      </c>
      <c r="AM42" s="471">
        <f t="shared" si="77"/>
        <v>311.99761776868803</v>
      </c>
      <c r="AO42">
        <f t="shared" si="49"/>
        <v>148</v>
      </c>
      <c r="AP42" s="471">
        <f t="shared" si="24"/>
        <v>311.99761776868803</v>
      </c>
      <c r="AQ42" s="471"/>
      <c r="AR42" s="5">
        <f t="shared" si="50"/>
        <v>3.2051526776123982</v>
      </c>
      <c r="AS42" s="5">
        <f t="shared" si="25"/>
        <v>1.4899664425751338</v>
      </c>
      <c r="AT42" s="5">
        <f t="shared" si="51"/>
        <v>1.7151862350372644</v>
      </c>
      <c r="AU42" s="178">
        <f t="shared" si="52"/>
        <v>0.46486598063872847</v>
      </c>
      <c r="AW42" s="5">
        <f t="shared" si="78"/>
        <v>1.8376252791759982</v>
      </c>
      <c r="AX42" s="5">
        <f t="shared" si="79"/>
        <v>0.91881263958799908</v>
      </c>
      <c r="AY42" s="5">
        <f t="shared" si="28"/>
        <v>0.11133665034452414</v>
      </c>
      <c r="AZ42" s="5"/>
      <c r="BA42" s="178">
        <f t="shared" si="53"/>
        <v>0.16757595309265272</v>
      </c>
      <c r="BB42" s="178">
        <f t="shared" si="80"/>
        <v>0.35959123020671779</v>
      </c>
      <c r="BC42" s="178">
        <f t="shared" si="81"/>
        <v>0.1797956151033589</v>
      </c>
      <c r="BD42" s="178"/>
      <c r="BE42" s="545">
        <f t="shared" si="31"/>
        <v>9.8285950192188304E-3</v>
      </c>
      <c r="BF42" s="545">
        <f t="shared" si="32"/>
        <v>4.8312857273525002E-2</v>
      </c>
      <c r="BG42" s="545">
        <f t="shared" si="33"/>
        <v>3.8999702221086002E-3</v>
      </c>
      <c r="BH42" s="545">
        <f t="shared" si="34"/>
        <v>3.6694819819819827E-2</v>
      </c>
      <c r="BI42">
        <f t="shared" si="35"/>
        <v>6.96E-3</v>
      </c>
      <c r="BJ42">
        <f t="shared" si="82"/>
        <v>0.10605743239336143</v>
      </c>
      <c r="BK42" s="471">
        <f t="shared" si="54"/>
        <v>106.05743239336144</v>
      </c>
      <c r="BL42" s="178">
        <f t="shared" si="83"/>
        <v>4.4399999999999995E-2</v>
      </c>
      <c r="BM42" s="178">
        <f t="shared" si="84"/>
        <v>2.2199999999999998E-2</v>
      </c>
      <c r="BN42" s="545"/>
      <c r="BP42" s="471">
        <f t="shared" si="55"/>
        <v>66.599999999999994</v>
      </c>
      <c r="BQ42" s="545">
        <f t="shared" si="39"/>
        <v>2.6677615052165399E-3</v>
      </c>
      <c r="BR42" s="545">
        <f t="shared" si="56"/>
        <v>1.1637526755742264E-2</v>
      </c>
      <c r="BS42" s="545">
        <f t="shared" si="85"/>
        <v>3.2326463210395184E-3</v>
      </c>
      <c r="BT42" s="545">
        <f t="shared" si="41"/>
        <v>1.0165279084508767E-2</v>
      </c>
      <c r="BU42" s="545">
        <f t="shared" si="86"/>
        <v>2.7742136849004905E-2</v>
      </c>
      <c r="BV42" s="655">
        <f t="shared" si="87"/>
        <v>1.2721862046976302E-2</v>
      </c>
      <c r="BW42" s="471">
        <f t="shared" si="57"/>
        <v>40.463998895981206</v>
      </c>
      <c r="BX42" s="178">
        <f t="shared" si="58"/>
        <v>0.21312143128934263</v>
      </c>
      <c r="BY42" s="5">
        <f t="shared" si="59"/>
        <v>2.6639999999999997</v>
      </c>
      <c r="BZ42" s="178">
        <f t="shared" si="60"/>
        <v>0.9259254653030633</v>
      </c>
      <c r="CA42" s="5">
        <f t="shared" si="61"/>
        <v>92.592546530306336</v>
      </c>
      <c r="CB42">
        <f t="shared" si="92"/>
        <v>36.999999999999993</v>
      </c>
      <c r="CD42" s="580">
        <f t="shared" si="88"/>
        <v>-50</v>
      </c>
      <c r="CE42">
        <f t="shared" si="89"/>
        <v>-50</v>
      </c>
    </row>
    <row r="43" spans="5:83" x14ac:dyDescent="0.2">
      <c r="E43" s="175">
        <v>38</v>
      </c>
      <c r="F43" s="222">
        <f t="shared" si="93"/>
        <v>0.15200000000000002</v>
      </c>
      <c r="G43" s="222">
        <f t="shared" si="90"/>
        <v>7.6000000000000012E-2</v>
      </c>
      <c r="H43" s="222">
        <f t="shared" si="65"/>
        <v>1.8240000000000003</v>
      </c>
      <c r="I43" s="222">
        <f t="shared" si="94"/>
        <v>0.91200000000000014</v>
      </c>
      <c r="J43" s="558">
        <f t="shared" si="1"/>
        <v>24</v>
      </c>
      <c r="K43" s="453">
        <f t="shared" si="2"/>
        <v>24.5</v>
      </c>
      <c r="L43" s="453">
        <f t="shared" si="3"/>
        <v>48.5</v>
      </c>
      <c r="M43" s="453"/>
      <c r="N43" s="222">
        <f t="shared" si="4"/>
        <v>0.50515463917525771</v>
      </c>
      <c r="O43" s="177">
        <f t="shared" si="91"/>
        <v>5.5668041237113393</v>
      </c>
      <c r="P43" s="177">
        <f t="shared" si="66"/>
        <v>4.1751030927835044</v>
      </c>
      <c r="Q43" s="222">
        <f t="shared" si="6"/>
        <v>0.46390034364261162</v>
      </c>
      <c r="R43" s="222">
        <f t="shared" si="67"/>
        <v>0.46390034364261162</v>
      </c>
      <c r="S43" s="453">
        <f t="shared" si="68"/>
        <v>12</v>
      </c>
      <c r="T43" s="222">
        <f t="shared" si="69"/>
        <v>0.47510204081632673</v>
      </c>
      <c r="U43" s="222">
        <f t="shared" si="10"/>
        <v>1.6628571428571435</v>
      </c>
      <c r="V43" s="222">
        <f t="shared" si="11"/>
        <v>1.6289212827988346</v>
      </c>
      <c r="W43" s="202">
        <f t="shared" si="12"/>
        <v>350</v>
      </c>
      <c r="X43" s="453">
        <f t="shared" si="48"/>
        <v>303.78715414319612</v>
      </c>
      <c r="Z43" s="222">
        <f t="shared" si="13"/>
        <v>0.41237113402061859</v>
      </c>
      <c r="AA43" s="178">
        <f t="shared" si="14"/>
        <v>1.4138438880706923</v>
      </c>
      <c r="AB43" s="178">
        <f t="shared" si="70"/>
        <v>0.20405994260814117</v>
      </c>
      <c r="AC43" s="178"/>
      <c r="AD43" s="178">
        <f t="shared" si="16"/>
        <v>0.99428571428571422</v>
      </c>
      <c r="AE43" s="562">
        <f t="shared" si="71"/>
        <v>527.15021799445128</v>
      </c>
      <c r="AF43" s="545">
        <f t="shared" si="72"/>
        <v>0.10091999999999998</v>
      </c>
      <c r="AH43" s="178">
        <f t="shared" si="73"/>
        <v>0.43141911058690008</v>
      </c>
      <c r="AI43" s="178">
        <f t="shared" si="74"/>
        <v>0.43141911058690008</v>
      </c>
      <c r="AJ43" s="178">
        <f t="shared" si="75"/>
        <v>1.304754896731037</v>
      </c>
      <c r="AL43" s="562">
        <f t="shared" si="76"/>
        <v>152.00000000000003</v>
      </c>
      <c r="AM43" s="471">
        <f t="shared" si="77"/>
        <v>303.78715414319612</v>
      </c>
      <c r="AO43">
        <f t="shared" si="49"/>
        <v>152.00000000000003</v>
      </c>
      <c r="AP43" s="471">
        <f t="shared" si="24"/>
        <v>303.78715414319612</v>
      </c>
      <c r="AQ43" s="471"/>
      <c r="AR43" s="5">
        <f t="shared" si="50"/>
        <v>3.2917784256559779</v>
      </c>
      <c r="AS43" s="5">
        <f t="shared" si="25"/>
        <v>1.5099668870541505</v>
      </c>
      <c r="AT43" s="5">
        <f t="shared" si="51"/>
        <v>1.7818115386018274</v>
      </c>
      <c r="AU43" s="178">
        <f t="shared" si="52"/>
        <v>0.45870854346864121</v>
      </c>
      <c r="AW43" s="5">
        <f t="shared" si="78"/>
        <v>1.9126247236019243</v>
      </c>
      <c r="AX43" s="5">
        <f t="shared" si="79"/>
        <v>0.95631236180096213</v>
      </c>
      <c r="AY43" s="5">
        <f t="shared" si="28"/>
        <v>0.1187874359067885</v>
      </c>
      <c r="AZ43" s="5"/>
      <c r="BA43" s="178">
        <f t="shared" si="53"/>
        <v>0.16869692496530092</v>
      </c>
      <c r="BB43" s="178">
        <f t="shared" si="80"/>
        <v>0.36650873841578335</v>
      </c>
      <c r="BC43" s="178">
        <f t="shared" si="81"/>
        <v>0.18325436920789168</v>
      </c>
      <c r="BD43" s="178"/>
      <c r="BE43" s="545">
        <f t="shared" si="31"/>
        <v>9.9605283724619274E-3</v>
      </c>
      <c r="BF43" s="545">
        <f t="shared" si="32"/>
        <v>4.7672923624776632E-2</v>
      </c>
      <c r="BG43" s="545">
        <f t="shared" si="33"/>
        <v>3.7973394267899517E-3</v>
      </c>
      <c r="BH43" s="545">
        <f t="shared" si="34"/>
        <v>3.5729166666666659E-2</v>
      </c>
      <c r="BI43">
        <f t="shared" si="35"/>
        <v>6.96E-3</v>
      </c>
      <c r="BJ43">
        <f t="shared" si="82"/>
        <v>0.10448055423906219</v>
      </c>
      <c r="BK43" s="471">
        <f t="shared" si="54"/>
        <v>104.48055423906219</v>
      </c>
      <c r="BL43" s="178">
        <f t="shared" si="83"/>
        <v>4.5600000000000009E-2</v>
      </c>
      <c r="BM43" s="178">
        <f t="shared" si="84"/>
        <v>2.2800000000000004E-2</v>
      </c>
      <c r="BN43" s="545"/>
      <c r="BP43" s="471">
        <f t="shared" si="55"/>
        <v>68.40000000000002</v>
      </c>
      <c r="BQ43" s="545">
        <f t="shared" si="39"/>
        <v>2.7035719868110947E-3</v>
      </c>
      <c r="BR43" s="545">
        <f t="shared" si="56"/>
        <v>1.2089578980161619E-2</v>
      </c>
      <c r="BS43" s="545">
        <f t="shared" si="85"/>
        <v>3.3582163833782278E-3</v>
      </c>
      <c r="BT43" s="545">
        <f t="shared" si="41"/>
        <v>9.8320021730999435E-3</v>
      </c>
      <c r="BU43" s="545">
        <f t="shared" si="86"/>
        <v>2.802406352919232E-2</v>
      </c>
      <c r="BV43" s="655">
        <f t="shared" si="87"/>
        <v>1.2721862046976302E-2</v>
      </c>
      <c r="BW43" s="471">
        <f t="shared" si="57"/>
        <v>40.745925576168624</v>
      </c>
      <c r="BX43" s="178">
        <f t="shared" si="58"/>
        <v>0.21362647981523084</v>
      </c>
      <c r="BY43" s="5">
        <f t="shared" si="59"/>
        <v>2.7360000000000007</v>
      </c>
      <c r="BZ43" s="178">
        <f t="shared" si="60"/>
        <v>0.92757507390270899</v>
      </c>
      <c r="CA43" s="5">
        <f t="shared" si="61"/>
        <v>92.757507390270902</v>
      </c>
      <c r="CB43">
        <f t="shared" si="92"/>
        <v>38.000000000000007</v>
      </c>
      <c r="CD43" s="580">
        <f t="shared" si="88"/>
        <v>-50</v>
      </c>
      <c r="CE43">
        <f t="shared" si="89"/>
        <v>-50</v>
      </c>
    </row>
    <row r="44" spans="5:83" x14ac:dyDescent="0.2">
      <c r="E44" s="175">
        <v>39</v>
      </c>
      <c r="F44" s="222">
        <f t="shared" si="93"/>
        <v>0.15600000000000003</v>
      </c>
      <c r="G44" s="222">
        <f t="shared" si="90"/>
        <v>7.8000000000000014E-2</v>
      </c>
      <c r="H44" s="222">
        <f t="shared" si="65"/>
        <v>1.8720000000000003</v>
      </c>
      <c r="I44" s="222">
        <f t="shared" si="94"/>
        <v>0.93600000000000017</v>
      </c>
      <c r="J44" s="558">
        <f t="shared" si="1"/>
        <v>24</v>
      </c>
      <c r="K44" s="453">
        <f t="shared" si="2"/>
        <v>24.5</v>
      </c>
      <c r="L44" s="453">
        <f t="shared" si="3"/>
        <v>48.5</v>
      </c>
      <c r="M44" s="453"/>
      <c r="N44" s="222">
        <f t="shared" si="4"/>
        <v>0.50515463917525771</v>
      </c>
      <c r="O44" s="177">
        <f t="shared" si="91"/>
        <v>5.5668041237113393</v>
      </c>
      <c r="P44" s="177">
        <f t="shared" si="66"/>
        <v>4.1751030927835044</v>
      </c>
      <c r="Q44" s="222">
        <f t="shared" si="6"/>
        <v>0.46390034364261162</v>
      </c>
      <c r="R44" s="222">
        <f t="shared" si="67"/>
        <v>0.46390034364261162</v>
      </c>
      <c r="S44" s="453">
        <f t="shared" si="68"/>
        <v>12</v>
      </c>
      <c r="T44" s="222">
        <f t="shared" si="69"/>
        <v>0.48760472610096689</v>
      </c>
      <c r="U44" s="222">
        <f t="shared" si="10"/>
        <v>1.706616541353384</v>
      </c>
      <c r="V44" s="222">
        <f t="shared" si="11"/>
        <v>1.671787632346172</v>
      </c>
      <c r="W44" s="202">
        <f t="shared" si="12"/>
        <v>350</v>
      </c>
      <c r="X44" s="453">
        <f t="shared" si="48"/>
        <v>295.99773993439624</v>
      </c>
      <c r="Z44" s="222">
        <f t="shared" si="13"/>
        <v>0.41237113402061859</v>
      </c>
      <c r="AA44" s="178">
        <f t="shared" si="14"/>
        <v>1.4138438880706923</v>
      </c>
      <c r="AB44" s="178">
        <f t="shared" si="70"/>
        <v>0.20405994260814117</v>
      </c>
      <c r="AC44" s="178"/>
      <c r="AD44" s="178">
        <f t="shared" si="16"/>
        <v>0.99428571428571422</v>
      </c>
      <c r="AE44" s="562">
        <f t="shared" si="71"/>
        <v>541.02259215219999</v>
      </c>
      <c r="AF44" s="545">
        <f t="shared" si="72"/>
        <v>0.10091999999999998</v>
      </c>
      <c r="AH44" s="178">
        <f t="shared" si="73"/>
        <v>0.43705881545081021</v>
      </c>
      <c r="AI44" s="178">
        <f t="shared" si="74"/>
        <v>0.43705881545081021</v>
      </c>
      <c r="AJ44" s="178">
        <f t="shared" si="75"/>
        <v>1.308932455889489</v>
      </c>
      <c r="AL44" s="562">
        <f t="shared" si="76"/>
        <v>156.00000000000003</v>
      </c>
      <c r="AM44" s="471">
        <f t="shared" si="77"/>
        <v>295.99773993439624</v>
      </c>
      <c r="AO44">
        <f t="shared" si="49"/>
        <v>156.00000000000003</v>
      </c>
      <c r="AP44" s="471">
        <f t="shared" si="24"/>
        <v>295.99773993439624</v>
      </c>
      <c r="AQ44" s="471"/>
      <c r="AR44" s="5">
        <f t="shared" si="50"/>
        <v>3.3784041736995563</v>
      </c>
      <c r="AS44" s="5">
        <f t="shared" si="25"/>
        <v>1.5297058540778357</v>
      </c>
      <c r="AT44" s="5">
        <f t="shared" si="51"/>
        <v>1.8486983196217206</v>
      </c>
      <c r="AU44" s="178">
        <f t="shared" si="52"/>
        <v>0.45278947557145466</v>
      </c>
      <c r="AW44" s="5">
        <f t="shared" si="78"/>
        <v>1.9886176103011866</v>
      </c>
      <c r="AX44" s="5">
        <f t="shared" si="79"/>
        <v>0.99430880515059328</v>
      </c>
      <c r="AY44" s="5">
        <f t="shared" si="28"/>
        <v>0.12648988502674929</v>
      </c>
      <c r="AZ44" s="5"/>
      <c r="BA44" s="178">
        <f t="shared" si="53"/>
        <v>0.16979598585330785</v>
      </c>
      <c r="BB44" s="178">
        <f t="shared" si="80"/>
        <v>0.37332448393245471</v>
      </c>
      <c r="BC44" s="178">
        <f t="shared" si="81"/>
        <v>0.18666224196622735</v>
      </c>
      <c r="BD44" s="178"/>
      <c r="BE44" s="545">
        <f t="shared" si="31"/>
        <v>1.0090736884163851E-2</v>
      </c>
      <c r="BF44" s="545">
        <f t="shared" si="32"/>
        <v>4.7057763354033333E-2</v>
      </c>
      <c r="BG44" s="545">
        <f t="shared" si="33"/>
        <v>3.6999717491799527E-3</v>
      </c>
      <c r="BH44" s="545">
        <f t="shared" si="34"/>
        <v>3.4813034188034178E-2</v>
      </c>
      <c r="BI44">
        <f t="shared" si="35"/>
        <v>6.96E-3</v>
      </c>
      <c r="BJ44">
        <f t="shared" si="82"/>
        <v>0.10298157510790287</v>
      </c>
      <c r="BK44" s="471">
        <f t="shared" si="54"/>
        <v>102.98157510790287</v>
      </c>
      <c r="BL44" s="178">
        <f t="shared" si="83"/>
        <v>4.6800000000000008E-2</v>
      </c>
      <c r="BM44" s="178">
        <f t="shared" si="84"/>
        <v>2.3400000000000004E-2</v>
      </c>
      <c r="BN44" s="545"/>
      <c r="BP44" s="471">
        <f t="shared" si="55"/>
        <v>70.200000000000017</v>
      </c>
      <c r="BQ44" s="545">
        <f t="shared" si="39"/>
        <v>2.7389142971301884E-3</v>
      </c>
      <c r="BR44" s="545">
        <f t="shared" si="56"/>
        <v>1.2543405327309026E-2</v>
      </c>
      <c r="BS44" s="545">
        <f t="shared" si="85"/>
        <v>3.484279257585841E-3</v>
      </c>
      <c r="BT44" s="545">
        <f t="shared" si="41"/>
        <v>9.5178904730437337E-3</v>
      </c>
      <c r="BU44" s="545">
        <f t="shared" si="86"/>
        <v>2.8327017497060104E-2</v>
      </c>
      <c r="BV44" s="655">
        <f t="shared" si="87"/>
        <v>1.27218620469763E-2</v>
      </c>
      <c r="BW44" s="471">
        <f t="shared" si="57"/>
        <v>41.048879544036403</v>
      </c>
      <c r="BX44" s="178">
        <f t="shared" si="58"/>
        <v>0.21423045465193929</v>
      </c>
      <c r="BY44" s="5">
        <f t="shared" si="59"/>
        <v>2.8080000000000007</v>
      </c>
      <c r="BZ44" s="178">
        <f t="shared" si="60"/>
        <v>0.92911511618110154</v>
      </c>
      <c r="CA44" s="5">
        <f t="shared" si="61"/>
        <v>92.911511618110154</v>
      </c>
      <c r="CB44">
        <f t="shared" si="92"/>
        <v>39.000000000000007</v>
      </c>
      <c r="CD44" s="580">
        <f t="shared" si="88"/>
        <v>-50</v>
      </c>
      <c r="CE44">
        <f t="shared" si="89"/>
        <v>-50</v>
      </c>
    </row>
    <row r="45" spans="5:83" x14ac:dyDescent="0.2">
      <c r="E45" s="175">
        <v>40</v>
      </c>
      <c r="F45" s="222">
        <f t="shared" si="93"/>
        <v>0.16000000000000003</v>
      </c>
      <c r="G45" s="222">
        <f t="shared" si="90"/>
        <v>8.0000000000000016E-2</v>
      </c>
      <c r="H45" s="222">
        <f t="shared" si="65"/>
        <v>1.9200000000000004</v>
      </c>
      <c r="I45" s="222">
        <f t="shared" si="94"/>
        <v>0.96000000000000019</v>
      </c>
      <c r="J45" s="558">
        <f t="shared" si="1"/>
        <v>24</v>
      </c>
      <c r="K45" s="453">
        <f t="shared" si="2"/>
        <v>24.5</v>
      </c>
      <c r="L45" s="453">
        <f t="shared" si="3"/>
        <v>48.5</v>
      </c>
      <c r="M45" s="453"/>
      <c r="N45" s="222">
        <f t="shared" si="4"/>
        <v>0.50515463917525771</v>
      </c>
      <c r="O45" s="177">
        <f t="shared" si="91"/>
        <v>5.5668041237113393</v>
      </c>
      <c r="P45" s="177">
        <f t="shared" si="66"/>
        <v>4.1751030927835044</v>
      </c>
      <c r="Q45" s="222">
        <f t="shared" si="6"/>
        <v>0.46390034364261162</v>
      </c>
      <c r="R45" s="222">
        <f t="shared" si="67"/>
        <v>0.46390034364261162</v>
      </c>
      <c r="S45" s="453">
        <f t="shared" si="68"/>
        <v>12</v>
      </c>
      <c r="T45" s="222">
        <f t="shared" si="69"/>
        <v>0.5001074113856071</v>
      </c>
      <c r="U45" s="222">
        <f t="shared" si="10"/>
        <v>1.750375939849625</v>
      </c>
      <c r="V45" s="222">
        <f t="shared" si="11"/>
        <v>1.7146539818935103</v>
      </c>
      <c r="W45" s="202">
        <f t="shared" si="12"/>
        <v>350</v>
      </c>
      <c r="X45" s="453">
        <f t="shared" si="48"/>
        <v>288.59779643603622</v>
      </c>
      <c r="Z45" s="222">
        <f t="shared" si="13"/>
        <v>0.41237113402061859</v>
      </c>
      <c r="AA45" s="178">
        <f t="shared" si="14"/>
        <v>1.4138438880706923</v>
      </c>
      <c r="AB45" s="178">
        <f t="shared" si="70"/>
        <v>0.20405994260814117</v>
      </c>
      <c r="AC45" s="178"/>
      <c r="AD45" s="178">
        <f t="shared" si="16"/>
        <v>0.99428571428571422</v>
      </c>
      <c r="AE45" s="562">
        <f t="shared" si="71"/>
        <v>554.8949663099487</v>
      </c>
      <c r="AF45" s="545">
        <f t="shared" si="72"/>
        <v>0.10091999999999998</v>
      </c>
      <c r="AH45" s="178">
        <f t="shared" si="73"/>
        <v>0.44262666813799056</v>
      </c>
      <c r="AI45" s="178">
        <f t="shared" si="74"/>
        <v>0.44262666813799056</v>
      </c>
      <c r="AJ45" s="178">
        <f t="shared" si="75"/>
        <v>1.3130567912133264</v>
      </c>
      <c r="AL45" s="562">
        <f t="shared" si="76"/>
        <v>160.00000000000003</v>
      </c>
      <c r="AM45" s="471">
        <f t="shared" si="77"/>
        <v>288.59779643603622</v>
      </c>
      <c r="AO45">
        <f t="shared" si="49"/>
        <v>160.00000000000003</v>
      </c>
      <c r="AP45" s="471">
        <f t="shared" si="24"/>
        <v>288.59779643603622</v>
      </c>
      <c r="AQ45" s="471"/>
      <c r="AR45" s="5">
        <f t="shared" si="50"/>
        <v>3.465029921743136</v>
      </c>
      <c r="AS45" s="5">
        <f t="shared" si="25"/>
        <v>1.5491933384829668</v>
      </c>
      <c r="AT45" s="5">
        <f t="shared" si="51"/>
        <v>1.9158365832601691</v>
      </c>
      <c r="AU45" s="178">
        <f t="shared" si="52"/>
        <v>0.44709378373957059</v>
      </c>
      <c r="AW45" s="5">
        <f t="shared" si="78"/>
        <v>2.0655911179772892</v>
      </c>
      <c r="AX45" s="5">
        <f t="shared" si="79"/>
        <v>1.0327955589886446</v>
      </c>
      <c r="AY45" s="5">
        <f t="shared" si="28"/>
        <v>0.13444467250948558</v>
      </c>
      <c r="AZ45" s="5"/>
      <c r="BA45" s="178">
        <f t="shared" si="53"/>
        <v>0.17087410976234524</v>
      </c>
      <c r="BB45" s="178">
        <f t="shared" si="80"/>
        <v>0.3800429505300979</v>
      </c>
      <c r="BC45" s="178">
        <f t="shared" si="81"/>
        <v>0.19002147526504895</v>
      </c>
      <c r="BD45" s="178"/>
      <c r="BE45" s="545">
        <f t="shared" si="31"/>
        <v>1.0219286485475904E-2</v>
      </c>
      <c r="BF45" s="545">
        <f t="shared" si="32"/>
        <v>4.6465818238648232E-2</v>
      </c>
      <c r="BG45" s="545">
        <f t="shared" si="33"/>
        <v>3.6074724554504525E-3</v>
      </c>
      <c r="BH45" s="545">
        <f t="shared" si="34"/>
        <v>3.3942708333333314E-2</v>
      </c>
      <c r="BI45">
        <f t="shared" si="35"/>
        <v>6.96E-3</v>
      </c>
      <c r="BJ45">
        <f t="shared" si="82"/>
        <v>0.10155488962700379</v>
      </c>
      <c r="BK45" s="471">
        <f t="shared" si="54"/>
        <v>101.55488962700379</v>
      </c>
      <c r="BL45" s="178">
        <f t="shared" si="83"/>
        <v>4.8000000000000008E-2</v>
      </c>
      <c r="BM45" s="178">
        <f t="shared" si="84"/>
        <v>2.4000000000000004E-2</v>
      </c>
      <c r="BN45" s="545"/>
      <c r="BP45" s="471">
        <f t="shared" si="55"/>
        <v>72.000000000000014</v>
      </c>
      <c r="BQ45" s="545">
        <f t="shared" si="39"/>
        <v>2.773806331772031E-3</v>
      </c>
      <c r="BR45" s="545">
        <f t="shared" si="56"/>
        <v>1.299893798228602E-2</v>
      </c>
      <c r="BS45" s="545">
        <f t="shared" si="85"/>
        <v>3.6108161061905613E-3</v>
      </c>
      <c r="BT45" s="545">
        <f t="shared" si="41"/>
        <v>9.2213917509382827E-3</v>
      </c>
      <c r="BU45" s="545">
        <f t="shared" si="86"/>
        <v>2.8649378327652224E-2</v>
      </c>
      <c r="BV45" s="655">
        <f t="shared" si="87"/>
        <v>1.2721862046976293E-2</v>
      </c>
      <c r="BW45" s="471">
        <f t="shared" si="57"/>
        <v>41.37124037462852</v>
      </c>
      <c r="BX45" s="178">
        <f t="shared" si="58"/>
        <v>0.2149261300016323</v>
      </c>
      <c r="BY45" s="5">
        <f t="shared" si="59"/>
        <v>2.8800000000000008</v>
      </c>
      <c r="BZ45" s="178">
        <f t="shared" si="60"/>
        <v>0.93055532798725671</v>
      </c>
      <c r="CA45" s="5">
        <f t="shared" si="61"/>
        <v>93.055532798725665</v>
      </c>
      <c r="CB45">
        <f t="shared" si="92"/>
        <v>40.000000000000007</v>
      </c>
      <c r="CD45" s="580">
        <f t="shared" si="88"/>
        <v>-50</v>
      </c>
      <c r="CE45">
        <f t="shared" si="89"/>
        <v>-50</v>
      </c>
    </row>
    <row r="46" spans="5:83" x14ac:dyDescent="0.2">
      <c r="E46" s="175">
        <v>41</v>
      </c>
      <c r="F46" s="222">
        <f t="shared" si="93"/>
        <v>0.16400000000000001</v>
      </c>
      <c r="G46" s="222">
        <f t="shared" si="90"/>
        <v>8.2000000000000003E-2</v>
      </c>
      <c r="H46" s="222">
        <f t="shared" si="65"/>
        <v>1.968</v>
      </c>
      <c r="I46" s="222">
        <f t="shared" si="94"/>
        <v>0.98399999999999999</v>
      </c>
      <c r="J46" s="558">
        <f t="shared" si="1"/>
        <v>24</v>
      </c>
      <c r="K46" s="453">
        <f t="shared" si="2"/>
        <v>24.5</v>
      </c>
      <c r="L46" s="453">
        <f t="shared" si="3"/>
        <v>48.5</v>
      </c>
      <c r="M46" s="453"/>
      <c r="N46" s="222">
        <f t="shared" si="4"/>
        <v>0.50515463917525771</v>
      </c>
      <c r="O46" s="177">
        <f t="shared" si="91"/>
        <v>5.5668041237113393</v>
      </c>
      <c r="P46" s="177">
        <f t="shared" si="66"/>
        <v>4.1751030927835044</v>
      </c>
      <c r="Q46" s="222">
        <f t="shared" si="6"/>
        <v>0.46390034364261162</v>
      </c>
      <c r="R46" s="222">
        <f t="shared" si="67"/>
        <v>0.46390034364261162</v>
      </c>
      <c r="S46" s="453">
        <f t="shared" si="68"/>
        <v>12</v>
      </c>
      <c r="T46" s="222">
        <f t="shared" si="69"/>
        <v>0.51261009667024715</v>
      </c>
      <c r="U46" s="222">
        <f t="shared" si="10"/>
        <v>1.7941353383458649</v>
      </c>
      <c r="V46" s="222">
        <f t="shared" si="11"/>
        <v>1.7575203314408472</v>
      </c>
      <c r="W46" s="202">
        <f t="shared" si="12"/>
        <v>350</v>
      </c>
      <c r="X46" s="453">
        <f t="shared" si="48"/>
        <v>281.558825791255</v>
      </c>
      <c r="Z46" s="222">
        <f t="shared" si="13"/>
        <v>0.41237113402061859</v>
      </c>
      <c r="AA46" s="178">
        <f t="shared" si="14"/>
        <v>1.4138438880706923</v>
      </c>
      <c r="AB46" s="178">
        <f t="shared" si="70"/>
        <v>0.20405994260814117</v>
      </c>
      <c r="AC46" s="178"/>
      <c r="AD46" s="178">
        <f t="shared" si="16"/>
        <v>0.99428571428571422</v>
      </c>
      <c r="AE46" s="562">
        <f t="shared" si="71"/>
        <v>568.76734046769741</v>
      </c>
      <c r="AF46" s="545">
        <f t="shared" si="72"/>
        <v>0.10091999999999998</v>
      </c>
      <c r="AH46" s="178">
        <f t="shared" si="73"/>
        <v>0.44812534689594635</v>
      </c>
      <c r="AI46" s="178">
        <f t="shared" si="74"/>
        <v>0.44812534689594635</v>
      </c>
      <c r="AJ46" s="178">
        <f t="shared" si="75"/>
        <v>1.3171298865895897</v>
      </c>
      <c r="AL46" s="562">
        <f t="shared" si="76"/>
        <v>164</v>
      </c>
      <c r="AM46" s="471">
        <f t="shared" si="77"/>
        <v>281.558825791255</v>
      </c>
      <c r="AO46">
        <f t="shared" si="49"/>
        <v>164</v>
      </c>
      <c r="AP46" s="471">
        <f t="shared" si="24"/>
        <v>281.558825791255</v>
      </c>
      <c r="AQ46" s="471"/>
      <c r="AR46" s="5">
        <f t="shared" si="50"/>
        <v>3.5516556697867121</v>
      </c>
      <c r="AS46" s="5">
        <f t="shared" si="25"/>
        <v>1.568438714135812</v>
      </c>
      <c r="AT46" s="5">
        <f t="shared" si="51"/>
        <v>1.9832169556509001</v>
      </c>
      <c r="AU46" s="178">
        <f t="shared" si="52"/>
        <v>0.44160776267762514</v>
      </c>
      <c r="AW46" s="5">
        <f t="shared" si="78"/>
        <v>2.1435329093189432</v>
      </c>
      <c r="AX46" s="5">
        <f t="shared" si="79"/>
        <v>1.0717664546594716</v>
      </c>
      <c r="AY46" s="5">
        <f t="shared" si="28"/>
        <v>0.14265244768717</v>
      </c>
      <c r="AZ46" s="5"/>
      <c r="BA46" s="178">
        <f t="shared" si="53"/>
        <v>0.17193220434066747</v>
      </c>
      <c r="BB46" s="178">
        <f t="shared" si="80"/>
        <v>0.38666829516143708</v>
      </c>
      <c r="BC46" s="178">
        <f t="shared" si="81"/>
        <v>0.19333414758071854</v>
      </c>
      <c r="BD46" s="178"/>
      <c r="BE46" s="545">
        <f t="shared" si="31"/>
        <v>1.0346239011304362E-2</v>
      </c>
      <c r="BF46" s="545">
        <f t="shared" si="32"/>
        <v>4.5895663906853172E-2</v>
      </c>
      <c r="BG46" s="545">
        <f t="shared" si="33"/>
        <v>3.5194853223906876E-3</v>
      </c>
      <c r="BH46" s="545">
        <f t="shared" si="34"/>
        <v>3.3114837398373981E-2</v>
      </c>
      <c r="BI46">
        <f t="shared" si="35"/>
        <v>6.96E-3</v>
      </c>
      <c r="BJ46">
        <f t="shared" si="82"/>
        <v>0.10019542340807432</v>
      </c>
      <c r="BK46" s="471">
        <f t="shared" si="54"/>
        <v>100.19542340807432</v>
      </c>
      <c r="BL46" s="178">
        <f t="shared" si="83"/>
        <v>4.9200000000000001E-2</v>
      </c>
      <c r="BM46" s="178">
        <f t="shared" si="84"/>
        <v>2.46E-2</v>
      </c>
      <c r="BN46" s="545"/>
      <c r="BP46" s="471">
        <f t="shared" si="55"/>
        <v>73.800000000000011</v>
      </c>
      <c r="BQ46" s="545">
        <f t="shared" si="39"/>
        <v>2.8082648744968985E-3</v>
      </c>
      <c r="BR46" s="545">
        <f t="shared" si="56"/>
        <v>1.3456113343474699E-2</v>
      </c>
      <c r="BS46" s="545">
        <f t="shared" si="85"/>
        <v>3.7378092620763055E-3</v>
      </c>
      <c r="BT46" s="545">
        <f t="shared" si="41"/>
        <v>8.9411141756119382E-3</v>
      </c>
      <c r="BU46" s="545">
        <f t="shared" si="86"/>
        <v>2.8989690233182454E-2</v>
      </c>
      <c r="BV46" s="655">
        <f t="shared" si="87"/>
        <v>1.27218620469763E-2</v>
      </c>
      <c r="BW46" s="471">
        <f t="shared" si="57"/>
        <v>41.711552280158756</v>
      </c>
      <c r="BX46" s="178">
        <f t="shared" si="58"/>
        <v>0.2157069756882331</v>
      </c>
      <c r="BY46" s="5">
        <f t="shared" si="59"/>
        <v>2.952</v>
      </c>
      <c r="BZ46" s="178">
        <f t="shared" si="60"/>
        <v>0.93190437835830209</v>
      </c>
      <c r="CA46" s="5">
        <f t="shared" si="61"/>
        <v>93.19043783583021</v>
      </c>
      <c r="CB46">
        <f t="shared" si="92"/>
        <v>41</v>
      </c>
      <c r="CD46" s="580">
        <f t="shared" si="88"/>
        <v>-50</v>
      </c>
      <c r="CE46">
        <f t="shared" si="89"/>
        <v>-50</v>
      </c>
    </row>
    <row r="47" spans="5:83" x14ac:dyDescent="0.2">
      <c r="E47" s="175">
        <v>42</v>
      </c>
      <c r="F47" s="222">
        <f t="shared" si="93"/>
        <v>0.16800000000000001</v>
      </c>
      <c r="G47" s="222">
        <f t="shared" si="90"/>
        <v>8.4000000000000005E-2</v>
      </c>
      <c r="H47" s="222">
        <f t="shared" si="65"/>
        <v>2.016</v>
      </c>
      <c r="I47" s="222">
        <f t="shared" si="94"/>
        <v>1.008</v>
      </c>
      <c r="J47" s="558">
        <f t="shared" si="1"/>
        <v>24</v>
      </c>
      <c r="K47" s="453">
        <f t="shared" si="2"/>
        <v>24.5</v>
      </c>
      <c r="L47" s="453">
        <f t="shared" si="3"/>
        <v>48.5</v>
      </c>
      <c r="M47" s="453"/>
      <c r="N47" s="222">
        <f t="shared" si="4"/>
        <v>0.50515463917525771</v>
      </c>
      <c r="O47" s="177">
        <f t="shared" si="91"/>
        <v>5.5668041237113393</v>
      </c>
      <c r="P47" s="177">
        <f t="shared" si="66"/>
        <v>4.1751030927835044</v>
      </c>
      <c r="Q47" s="222">
        <f t="shared" si="6"/>
        <v>0.46390034364261162</v>
      </c>
      <c r="R47" s="222">
        <f t="shared" si="67"/>
        <v>0.46390034364261162</v>
      </c>
      <c r="S47" s="453">
        <f t="shared" si="68"/>
        <v>12</v>
      </c>
      <c r="T47" s="222">
        <f t="shared" si="69"/>
        <v>0.52511278195488731</v>
      </c>
      <c r="U47" s="222">
        <f t="shared" si="10"/>
        <v>1.8378947368421052</v>
      </c>
      <c r="V47" s="222">
        <f t="shared" si="11"/>
        <v>1.8003866809881848</v>
      </c>
      <c r="W47" s="202">
        <f t="shared" si="12"/>
        <v>350</v>
      </c>
      <c r="X47" s="453">
        <f t="shared" si="48"/>
        <v>274.85504422479659</v>
      </c>
      <c r="Z47" s="222">
        <f t="shared" si="13"/>
        <v>0.41237113402061859</v>
      </c>
      <c r="AA47" s="178">
        <f t="shared" si="14"/>
        <v>1.4138438880706923</v>
      </c>
      <c r="AB47" s="178">
        <f t="shared" si="70"/>
        <v>0.20405994260814117</v>
      </c>
      <c r="AC47" s="178"/>
      <c r="AD47" s="178">
        <f t="shared" si="16"/>
        <v>0.99428571428571422</v>
      </c>
      <c r="AE47" s="562">
        <f t="shared" si="71"/>
        <v>582.63971462544612</v>
      </c>
      <c r="AF47" s="545">
        <f t="shared" si="72"/>
        <v>0.10091999999999998</v>
      </c>
      <c r="AH47" s="178">
        <f t="shared" si="73"/>
        <v>0.45355736761107268</v>
      </c>
      <c r="AI47" s="178">
        <f t="shared" si="74"/>
        <v>0.45355736761107268</v>
      </c>
      <c r="AJ47" s="178">
        <f t="shared" si="75"/>
        <v>1.3211536056378317</v>
      </c>
      <c r="AL47" s="562">
        <f t="shared" si="76"/>
        <v>168</v>
      </c>
      <c r="AM47" s="471">
        <f t="shared" si="77"/>
        <v>274.85504422479659</v>
      </c>
      <c r="AO47">
        <f t="shared" si="49"/>
        <v>168</v>
      </c>
      <c r="AP47" s="471">
        <f t="shared" si="24"/>
        <v>274.85504422479659</v>
      </c>
      <c r="AQ47" s="471"/>
      <c r="AR47" s="5">
        <f t="shared" si="50"/>
        <v>3.63828141783029</v>
      </c>
      <c r="AS47" s="5">
        <f t="shared" si="25"/>
        <v>1.5874507866387542</v>
      </c>
      <c r="AT47" s="5">
        <f t="shared" si="51"/>
        <v>2.0508306311915359</v>
      </c>
      <c r="AU47" s="178">
        <f t="shared" si="52"/>
        <v>0.43631885616628291</v>
      </c>
      <c r="AW47" s="5">
        <f t="shared" si="78"/>
        <v>2.2224311012942559</v>
      </c>
      <c r="AX47" s="5">
        <f t="shared" si="79"/>
        <v>1.111215550647128</v>
      </c>
      <c r="AY47" s="5">
        <f t="shared" si="28"/>
        <v>0.15111383598253419</v>
      </c>
      <c r="AZ47" s="5"/>
      <c r="BA47" s="178">
        <f t="shared" si="53"/>
        <v>0.17297111689520214</v>
      </c>
      <c r="BB47" s="178">
        <f t="shared" si="80"/>
        <v>0.39320438090873244</v>
      </c>
      <c r="BC47" s="178">
        <f t="shared" si="81"/>
        <v>0.19660219045436622</v>
      </c>
      <c r="BD47" s="178"/>
      <c r="BE47" s="545">
        <f t="shared" si="31"/>
        <v>1.047165254799079E-2</v>
      </c>
      <c r="BF47" s="545">
        <f t="shared" si="32"/>
        <v>4.5345995408710121E-2</v>
      </c>
      <c r="BG47" s="545">
        <f t="shared" si="33"/>
        <v>3.4356880528099575E-3</v>
      </c>
      <c r="BH47" s="545">
        <f t="shared" si="34"/>
        <v>3.2326388888888891E-2</v>
      </c>
      <c r="BI47">
        <f t="shared" si="35"/>
        <v>6.96E-3</v>
      </c>
      <c r="BJ47">
        <f t="shared" si="82"/>
        <v>9.8898571204538072E-2</v>
      </c>
      <c r="BK47" s="471">
        <f t="shared" si="54"/>
        <v>98.898571204538072</v>
      </c>
      <c r="BL47" s="178">
        <f t="shared" si="83"/>
        <v>5.04E-2</v>
      </c>
      <c r="BM47" s="178">
        <f t="shared" si="84"/>
        <v>2.52E-2</v>
      </c>
      <c r="BN47" s="545"/>
      <c r="BP47" s="471">
        <f t="shared" si="55"/>
        <v>75.599999999999994</v>
      </c>
      <c r="BQ47" s="545">
        <f t="shared" si="39"/>
        <v>2.8423056915975E-3</v>
      </c>
      <c r="BR47" s="545">
        <f t="shared" si="56"/>
        <v>1.3914871664923759E-2</v>
      </c>
      <c r="BS47" s="545">
        <f t="shared" si="85"/>
        <v>3.8652421291454891E-3</v>
      </c>
      <c r="BT47" s="545">
        <f t="shared" si="41"/>
        <v>8.6758063289071787E-3</v>
      </c>
      <c r="BU47" s="545">
        <f t="shared" si="86"/>
        <v>2.9346641715049391E-2</v>
      </c>
      <c r="BV47" s="655">
        <f t="shared" si="87"/>
        <v>1.27218620469763E-2</v>
      </c>
      <c r="BW47" s="471">
        <f t="shared" si="57"/>
        <v>42.068503762025692</v>
      </c>
      <c r="BX47" s="178">
        <f t="shared" si="58"/>
        <v>0.21656707496656377</v>
      </c>
      <c r="BY47" s="5">
        <f t="shared" si="59"/>
        <v>3.024</v>
      </c>
      <c r="BZ47" s="178">
        <f t="shared" si="60"/>
        <v>0.93317000699058261</v>
      </c>
      <c r="CA47" s="5">
        <f t="shared" si="61"/>
        <v>93.317000699058255</v>
      </c>
      <c r="CB47">
        <f t="shared" si="92"/>
        <v>42</v>
      </c>
      <c r="CD47" s="580">
        <f t="shared" si="88"/>
        <v>-50</v>
      </c>
      <c r="CE47">
        <f t="shared" si="89"/>
        <v>-50</v>
      </c>
    </row>
    <row r="48" spans="5:83" x14ac:dyDescent="0.2">
      <c r="E48" s="175">
        <v>43</v>
      </c>
      <c r="F48" s="222">
        <f t="shared" si="93"/>
        <v>0.17200000000000001</v>
      </c>
      <c r="G48" s="222">
        <f t="shared" si="90"/>
        <v>8.6000000000000007E-2</v>
      </c>
      <c r="H48" s="222">
        <f t="shared" si="65"/>
        <v>2.0640000000000001</v>
      </c>
      <c r="I48" s="222">
        <f t="shared" si="94"/>
        <v>1.032</v>
      </c>
      <c r="J48" s="558">
        <f t="shared" si="1"/>
        <v>24</v>
      </c>
      <c r="K48" s="453">
        <f t="shared" si="2"/>
        <v>24.5</v>
      </c>
      <c r="L48" s="453">
        <f t="shared" si="3"/>
        <v>48.5</v>
      </c>
      <c r="M48" s="453"/>
      <c r="N48" s="222">
        <f t="shared" si="4"/>
        <v>0.50515463917525771</v>
      </c>
      <c r="O48" s="177">
        <f t="shared" si="91"/>
        <v>5.5668041237113393</v>
      </c>
      <c r="P48" s="177">
        <f t="shared" si="66"/>
        <v>4.1751030927835044</v>
      </c>
      <c r="Q48" s="222">
        <f t="shared" si="6"/>
        <v>0.46390034364261162</v>
      </c>
      <c r="R48" s="222">
        <f t="shared" si="67"/>
        <v>0.46390034364261162</v>
      </c>
      <c r="S48" s="453">
        <f t="shared" si="68"/>
        <v>12</v>
      </c>
      <c r="T48" s="222">
        <f t="shared" si="69"/>
        <v>0.53761546723952747</v>
      </c>
      <c r="U48" s="222">
        <f t="shared" si="10"/>
        <v>1.881654135338346</v>
      </c>
      <c r="V48" s="222">
        <f t="shared" si="11"/>
        <v>1.8432530305355224</v>
      </c>
      <c r="W48" s="202">
        <f t="shared" si="12"/>
        <v>350</v>
      </c>
      <c r="X48" s="453">
        <f t="shared" si="48"/>
        <v>268.4630664521269</v>
      </c>
      <c r="Z48" s="222">
        <f t="shared" si="13"/>
        <v>0.41237113402061859</v>
      </c>
      <c r="AA48" s="178">
        <f t="shared" si="14"/>
        <v>1.4138438880706923</v>
      </c>
      <c r="AB48" s="178">
        <f t="shared" si="70"/>
        <v>0.20405994260814117</v>
      </c>
      <c r="AC48" s="178"/>
      <c r="AD48" s="178">
        <f t="shared" si="16"/>
        <v>0.99428571428571422</v>
      </c>
      <c r="AE48" s="562">
        <f t="shared" si="71"/>
        <v>596.51208878319483</v>
      </c>
      <c r="AF48" s="545">
        <f t="shared" si="72"/>
        <v>0.10091999999999998</v>
      </c>
      <c r="AH48" s="178">
        <f t="shared" si="73"/>
        <v>0.45892509726311459</v>
      </c>
      <c r="AI48" s="178">
        <f t="shared" si="74"/>
        <v>0.45892509726311459</v>
      </c>
      <c r="AJ48" s="178">
        <f t="shared" si="75"/>
        <v>1.3251297016763812</v>
      </c>
      <c r="AL48" s="562">
        <f t="shared" si="76"/>
        <v>172</v>
      </c>
      <c r="AM48" s="471">
        <f t="shared" si="77"/>
        <v>268.4630664521269</v>
      </c>
      <c r="AO48">
        <f t="shared" si="49"/>
        <v>172</v>
      </c>
      <c r="AP48" s="471">
        <f t="shared" si="24"/>
        <v>268.4630664521269</v>
      </c>
      <c r="AQ48" s="471"/>
      <c r="AR48" s="5">
        <f t="shared" si="50"/>
        <v>3.7249071658738684</v>
      </c>
      <c r="AS48" s="5">
        <f t="shared" si="25"/>
        <v>1.6062378404209008</v>
      </c>
      <c r="AT48" s="5">
        <f t="shared" si="51"/>
        <v>2.1186693254529674</v>
      </c>
      <c r="AU48" s="178">
        <f t="shared" si="52"/>
        <v>0.43121553609083707</v>
      </c>
      <c r="AW48" s="5">
        <f t="shared" si="78"/>
        <v>2.3022742379366243</v>
      </c>
      <c r="AX48" s="5">
        <f t="shared" si="79"/>
        <v>1.1511371189683122</v>
      </c>
      <c r="AY48" s="5">
        <f t="shared" si="28"/>
        <v>0.15982944034118876</v>
      </c>
      <c r="AZ48" s="5"/>
      <c r="BA48" s="178">
        <f t="shared" si="53"/>
        <v>0.1739916397330325</v>
      </c>
      <c r="BB48" s="178">
        <f t="shared" si="80"/>
        <v>0.39965480572946288</v>
      </c>
      <c r="BC48" s="178">
        <f t="shared" si="81"/>
        <v>0.19982740286473144</v>
      </c>
      <c r="BD48" s="178"/>
      <c r="BE48" s="545">
        <f t="shared" si="31"/>
        <v>1.0595581743946281E-2</v>
      </c>
      <c r="BF48" s="545">
        <f t="shared" si="32"/>
        <v>4.4815614643726291E-2</v>
      </c>
      <c r="BG48" s="545">
        <f t="shared" si="33"/>
        <v>3.3557883306515861E-3</v>
      </c>
      <c r="BH48" s="545">
        <f t="shared" si="34"/>
        <v>3.1574612403100777E-2</v>
      </c>
      <c r="BI48">
        <f t="shared" si="35"/>
        <v>6.96E-3</v>
      </c>
      <c r="BJ48">
        <f t="shared" si="82"/>
        <v>9.7660143552252165E-2</v>
      </c>
      <c r="BK48" s="471">
        <f t="shared" si="54"/>
        <v>97.660143552252165</v>
      </c>
      <c r="BL48" s="178">
        <f t="shared" si="83"/>
        <v>5.16E-2</v>
      </c>
      <c r="BM48" s="178">
        <f t="shared" si="84"/>
        <v>2.58E-2</v>
      </c>
      <c r="BN48" s="545"/>
      <c r="BP48" s="471">
        <f t="shared" si="55"/>
        <v>77.399999999999991</v>
      </c>
      <c r="BQ48" s="545">
        <f t="shared" si="39"/>
        <v>2.8759436162139906E-3</v>
      </c>
      <c r="BR48" s="545">
        <f t="shared" si="56"/>
        <v>1.4375156736838923E-2</v>
      </c>
      <c r="BS48" s="545">
        <f t="shared" si="85"/>
        <v>3.9930990935663681E-3</v>
      </c>
      <c r="BT48" s="545">
        <f t="shared" si="41"/>
        <v>8.4243401131981303E-3</v>
      </c>
      <c r="BU48" s="545">
        <f t="shared" si="86"/>
        <v>2.9719048150719619E-2</v>
      </c>
      <c r="BV48" s="655">
        <f t="shared" si="87"/>
        <v>1.27218620469763E-2</v>
      </c>
      <c r="BW48" s="471">
        <f t="shared" si="57"/>
        <v>42.440910197695921</v>
      </c>
      <c r="BX48" s="178">
        <f t="shared" si="58"/>
        <v>0.2175010537499481</v>
      </c>
      <c r="BY48" s="5">
        <f t="shared" si="59"/>
        <v>3.0960000000000001</v>
      </c>
      <c r="BZ48" s="178">
        <f t="shared" si="60"/>
        <v>0.93435914151776167</v>
      </c>
      <c r="CA48" s="5">
        <f t="shared" si="61"/>
        <v>93.43591415177616</v>
      </c>
      <c r="CB48">
        <f t="shared" si="92"/>
        <v>43</v>
      </c>
      <c r="CD48" s="580">
        <f t="shared" si="88"/>
        <v>-50</v>
      </c>
      <c r="CE48">
        <f t="shared" si="89"/>
        <v>-50</v>
      </c>
    </row>
    <row r="49" spans="5:83" x14ac:dyDescent="0.2">
      <c r="E49" s="175">
        <v>44</v>
      </c>
      <c r="F49" s="222">
        <f t="shared" si="93"/>
        <v>0.17600000000000002</v>
      </c>
      <c r="G49" s="222">
        <f t="shared" si="90"/>
        <v>8.8000000000000009E-2</v>
      </c>
      <c r="H49" s="222">
        <f t="shared" si="65"/>
        <v>2.1120000000000001</v>
      </c>
      <c r="I49" s="222">
        <f t="shared" si="94"/>
        <v>1.056</v>
      </c>
      <c r="J49" s="558">
        <f t="shared" si="1"/>
        <v>24</v>
      </c>
      <c r="K49" s="453">
        <f t="shared" si="2"/>
        <v>24.5</v>
      </c>
      <c r="L49" s="453">
        <f t="shared" si="3"/>
        <v>48.5</v>
      </c>
      <c r="M49" s="453"/>
      <c r="N49" s="222">
        <f t="shared" si="4"/>
        <v>0.50515463917525771</v>
      </c>
      <c r="O49" s="177">
        <f t="shared" si="91"/>
        <v>5.5668041237113393</v>
      </c>
      <c r="P49" s="177">
        <f t="shared" si="66"/>
        <v>4.1751030927835044</v>
      </c>
      <c r="Q49" s="222">
        <f t="shared" si="6"/>
        <v>0.46390034364261162</v>
      </c>
      <c r="R49" s="222">
        <f t="shared" si="67"/>
        <v>0.46390034364261162</v>
      </c>
      <c r="S49" s="453">
        <f t="shared" si="68"/>
        <v>12</v>
      </c>
      <c r="T49" s="222">
        <f t="shared" si="69"/>
        <v>0.55011815252416763</v>
      </c>
      <c r="U49" s="222">
        <f t="shared" si="10"/>
        <v>1.9254135338345864</v>
      </c>
      <c r="V49" s="222">
        <f t="shared" si="11"/>
        <v>1.8861193800828602</v>
      </c>
      <c r="W49" s="202">
        <f t="shared" si="12"/>
        <v>350</v>
      </c>
      <c r="X49" s="453">
        <f t="shared" si="48"/>
        <v>262.36163312366949</v>
      </c>
      <c r="Z49" s="222">
        <f t="shared" si="13"/>
        <v>0.41237113402061859</v>
      </c>
      <c r="AA49" s="178">
        <f t="shared" si="14"/>
        <v>1.4138438880706923</v>
      </c>
      <c r="AB49" s="178">
        <f t="shared" si="70"/>
        <v>0.20405994260814117</v>
      </c>
      <c r="AC49" s="178"/>
      <c r="AD49" s="178">
        <f t="shared" si="16"/>
        <v>0.99428571428571422</v>
      </c>
      <c r="AE49" s="562">
        <f t="shared" si="71"/>
        <v>610.38446294094354</v>
      </c>
      <c r="AF49" s="545">
        <f t="shared" si="72"/>
        <v>0.10091999999999998</v>
      </c>
      <c r="AH49" s="178">
        <f t="shared" si="73"/>
        <v>0.46423076597919777</v>
      </c>
      <c r="AI49" s="178">
        <f t="shared" si="74"/>
        <v>0.46423076597919777</v>
      </c>
      <c r="AJ49" s="178">
        <f t="shared" si="75"/>
        <v>1.3290598266512577</v>
      </c>
      <c r="AL49" s="562">
        <f t="shared" si="76"/>
        <v>176.00000000000003</v>
      </c>
      <c r="AM49" s="471">
        <f t="shared" si="77"/>
        <v>262.36163312366949</v>
      </c>
      <c r="AO49">
        <f t="shared" si="49"/>
        <v>176.00000000000003</v>
      </c>
      <c r="AP49" s="471">
        <f t="shared" si="24"/>
        <v>262.36163312366949</v>
      </c>
      <c r="AQ49" s="471"/>
      <c r="AR49" s="5">
        <f t="shared" si="50"/>
        <v>3.8115329139174463</v>
      </c>
      <c r="AS49" s="5">
        <f t="shared" si="25"/>
        <v>1.6248076809271921</v>
      </c>
      <c r="AT49" s="5">
        <f t="shared" si="51"/>
        <v>2.1867252329902542</v>
      </c>
      <c r="AU49" s="178">
        <f t="shared" si="52"/>
        <v>0.42628719667994019</v>
      </c>
      <c r="AW49" s="5">
        <f t="shared" si="78"/>
        <v>2.3830512653598821</v>
      </c>
      <c r="AX49" s="5">
        <f t="shared" si="79"/>
        <v>1.191525632679941</v>
      </c>
      <c r="AY49" s="5">
        <f t="shared" si="28"/>
        <v>0.16879984254661612</v>
      </c>
      <c r="AZ49" s="5"/>
      <c r="BA49" s="178">
        <f t="shared" si="53"/>
        <v>0.17499451491773585</v>
      </c>
      <c r="BB49" s="178">
        <f t="shared" si="80"/>
        <v>0.40602292764120546</v>
      </c>
      <c r="BC49" s="178">
        <f t="shared" si="81"/>
        <v>0.20301146382060273</v>
      </c>
      <c r="BD49" s="178"/>
      <c r="BE49" s="545">
        <f t="shared" si="31"/>
        <v>1.0718078087952785E-2</v>
      </c>
      <c r="BF49" s="545">
        <f t="shared" si="32"/>
        <v>4.4303419369236645E-2</v>
      </c>
      <c r="BG49" s="545">
        <f t="shared" si="33"/>
        <v>3.2795204140458685E-3</v>
      </c>
      <c r="BH49" s="545">
        <f t="shared" si="34"/>
        <v>3.0857007575757579E-2</v>
      </c>
      <c r="BI49">
        <f t="shared" si="35"/>
        <v>6.96E-3</v>
      </c>
      <c r="BJ49">
        <f t="shared" si="82"/>
        <v>9.6476320562511445E-2</v>
      </c>
      <c r="BK49" s="471">
        <f t="shared" si="54"/>
        <v>96.476320562511447</v>
      </c>
      <c r="BL49" s="178">
        <f t="shared" si="83"/>
        <v>5.2800000000000007E-2</v>
      </c>
      <c r="BM49" s="178">
        <f t="shared" si="84"/>
        <v>2.6400000000000003E-2</v>
      </c>
      <c r="BN49" s="545"/>
      <c r="BP49" s="471">
        <f t="shared" si="55"/>
        <v>79.2</v>
      </c>
      <c r="BQ49" s="545">
        <f t="shared" si="39"/>
        <v>2.9091926238728992E-3</v>
      </c>
      <c r="BR49" s="545">
        <f t="shared" si="56"/>
        <v>1.4836915599330199E-2</v>
      </c>
      <c r="BS49" s="545">
        <f t="shared" si="85"/>
        <v>4.1213654442583889E-3</v>
      </c>
      <c r="BT49" s="545">
        <f t="shared" si="41"/>
        <v>8.1856960797373427E-3</v>
      </c>
      <c r="BU49" s="545">
        <f t="shared" si="86"/>
        <v>3.0105836834736468E-2</v>
      </c>
      <c r="BV49" s="655">
        <f t="shared" si="87"/>
        <v>1.2721862046976304E-2</v>
      </c>
      <c r="BW49" s="471">
        <f t="shared" si="57"/>
        <v>42.82769888171277</v>
      </c>
      <c r="BX49" s="178">
        <f t="shared" si="58"/>
        <v>0.21850401944422423</v>
      </c>
      <c r="BY49" s="5">
        <f t="shared" si="59"/>
        <v>3.1680000000000001</v>
      </c>
      <c r="BZ49" s="178">
        <f t="shared" si="60"/>
        <v>0.93547799790295716</v>
      </c>
      <c r="CA49" s="5">
        <f t="shared" si="61"/>
        <v>93.547799790295713</v>
      </c>
      <c r="CB49">
        <f t="shared" si="92"/>
        <v>44</v>
      </c>
      <c r="CD49" s="580">
        <f t="shared" si="88"/>
        <v>-50</v>
      </c>
      <c r="CE49">
        <f t="shared" si="89"/>
        <v>-50</v>
      </c>
    </row>
    <row r="50" spans="5:83" x14ac:dyDescent="0.2">
      <c r="E50" s="175">
        <v>45</v>
      </c>
      <c r="F50" s="222">
        <f t="shared" si="93"/>
        <v>0.18000000000000002</v>
      </c>
      <c r="G50" s="222">
        <f t="shared" si="90"/>
        <v>9.0000000000000011E-2</v>
      </c>
      <c r="H50" s="222">
        <f t="shared" si="65"/>
        <v>2.16</v>
      </c>
      <c r="I50" s="222">
        <f t="shared" si="94"/>
        <v>1.08</v>
      </c>
      <c r="J50" s="558">
        <f t="shared" si="1"/>
        <v>24</v>
      </c>
      <c r="K50" s="453">
        <f t="shared" si="2"/>
        <v>24.5</v>
      </c>
      <c r="L50" s="453">
        <f t="shared" si="3"/>
        <v>48.5</v>
      </c>
      <c r="M50" s="453"/>
      <c r="N50" s="222">
        <f t="shared" si="4"/>
        <v>0.50515463917525771</v>
      </c>
      <c r="O50" s="177">
        <f t="shared" si="91"/>
        <v>5.5668041237113393</v>
      </c>
      <c r="P50" s="177">
        <f t="shared" si="66"/>
        <v>4.1751030927835044</v>
      </c>
      <c r="Q50" s="222">
        <f t="shared" si="6"/>
        <v>0.46390034364261162</v>
      </c>
      <c r="R50" s="222">
        <f t="shared" si="67"/>
        <v>0.46390034364261162</v>
      </c>
      <c r="S50" s="453">
        <f t="shared" si="68"/>
        <v>12</v>
      </c>
      <c r="T50" s="222">
        <f t="shared" si="69"/>
        <v>0.56262083780880789</v>
      </c>
      <c r="U50" s="222">
        <f t="shared" si="10"/>
        <v>1.9691729323308276</v>
      </c>
      <c r="V50" s="222">
        <f t="shared" si="11"/>
        <v>1.9289857296301982</v>
      </c>
      <c r="W50" s="202">
        <f t="shared" si="12"/>
        <v>350</v>
      </c>
      <c r="X50" s="453">
        <f t="shared" si="48"/>
        <v>256.53137460981009</v>
      </c>
      <c r="Z50" s="222">
        <f t="shared" si="13"/>
        <v>0.41237113402061859</v>
      </c>
      <c r="AA50" s="178">
        <f t="shared" si="14"/>
        <v>1.4138438880706923</v>
      </c>
      <c r="AB50" s="178">
        <f t="shared" si="70"/>
        <v>0.20405994260814117</v>
      </c>
      <c r="AC50" s="178"/>
      <c r="AD50" s="178">
        <f t="shared" si="16"/>
        <v>0.99428571428571422</v>
      </c>
      <c r="AE50" s="562">
        <f t="shared" si="71"/>
        <v>624.25683709869236</v>
      </c>
      <c r="AF50" s="545">
        <f t="shared" si="72"/>
        <v>0.10091999999999998</v>
      </c>
      <c r="AH50" s="178">
        <f t="shared" si="73"/>
        <v>0.46947647786157098</v>
      </c>
      <c r="AI50" s="178">
        <f t="shared" si="74"/>
        <v>0.46947647786157098</v>
      </c>
      <c r="AJ50" s="178">
        <f t="shared" si="75"/>
        <v>1.3329455391567193</v>
      </c>
      <c r="AL50" s="562">
        <f t="shared" si="76"/>
        <v>180.00000000000003</v>
      </c>
      <c r="AM50" s="471">
        <f t="shared" si="77"/>
        <v>256.53137460981009</v>
      </c>
      <c r="AO50">
        <f t="shared" si="49"/>
        <v>180.00000000000003</v>
      </c>
      <c r="AP50" s="471">
        <f t="shared" si="24"/>
        <v>256.53137460981009</v>
      </c>
      <c r="AQ50" s="471"/>
      <c r="AR50" s="5">
        <f t="shared" si="50"/>
        <v>3.898158661961026</v>
      </c>
      <c r="AS50" s="5">
        <f t="shared" si="25"/>
        <v>1.6431676725154984</v>
      </c>
      <c r="AT50" s="5">
        <f t="shared" si="51"/>
        <v>2.2549909894455276</v>
      </c>
      <c r="AU50" s="178">
        <f t="shared" si="52"/>
        <v>0.42152406174480306</v>
      </c>
      <c r="AW50" s="5">
        <f t="shared" si="78"/>
        <v>2.4647515087732477</v>
      </c>
      <c r="AX50" s="5">
        <f t="shared" si="79"/>
        <v>1.2323757543866238</v>
      </c>
      <c r="AY50" s="5">
        <f t="shared" si="28"/>
        <v>0.17802560442991006</v>
      </c>
      <c r="AZ50" s="5"/>
      <c r="BA50" s="178">
        <f t="shared" si="53"/>
        <v>0.17598043851642861</v>
      </c>
      <c r="BB50" s="178">
        <f t="shared" si="80"/>
        <v>0.41231188687529996</v>
      </c>
      <c r="BC50" s="178">
        <f t="shared" si="81"/>
        <v>0.20615594343764998</v>
      </c>
      <c r="BD50" s="178"/>
      <c r="BE50" s="545">
        <f t="shared" si="31"/>
        <v>1.0839190159152079E-2</v>
      </c>
      <c r="BF50" s="545">
        <f t="shared" si="32"/>
        <v>4.3808393559906317E-2</v>
      </c>
      <c r="BG50" s="545">
        <f t="shared" si="33"/>
        <v>3.2066421826226258E-3</v>
      </c>
      <c r="BH50" s="545">
        <f t="shared" si="34"/>
        <v>3.0171296296296293E-2</v>
      </c>
      <c r="BI50">
        <f t="shared" si="35"/>
        <v>6.96E-3</v>
      </c>
      <c r="BJ50">
        <f t="shared" si="82"/>
        <v>9.5343611770045356E-2</v>
      </c>
      <c r="BK50" s="471">
        <f t="shared" si="54"/>
        <v>95.343611770045356</v>
      </c>
      <c r="BL50" s="178">
        <f t="shared" si="83"/>
        <v>5.4000000000000006E-2</v>
      </c>
      <c r="BM50" s="178">
        <f t="shared" si="84"/>
        <v>2.7000000000000003E-2</v>
      </c>
      <c r="BN50" s="545"/>
      <c r="BP50" s="471">
        <f t="shared" si="55"/>
        <v>81.000000000000014</v>
      </c>
      <c r="BQ50" s="545">
        <f t="shared" si="39"/>
        <v>2.9420659003412787E-3</v>
      </c>
      <c r="BR50" s="545">
        <f t="shared" si="56"/>
        <v>1.5300098285280313E-2</v>
      </c>
      <c r="BS50" s="545">
        <f t="shared" si="85"/>
        <v>4.2500273014667534E-3</v>
      </c>
      <c r="BT50" s="545">
        <f t="shared" si="41"/>
        <v>7.9589507889250271E-3</v>
      </c>
      <c r="BU50" s="545">
        <f t="shared" si="86"/>
        <v>3.0506034080817965E-2</v>
      </c>
      <c r="BV50" s="655">
        <f t="shared" si="87"/>
        <v>1.27218620469763E-2</v>
      </c>
      <c r="BW50" s="471">
        <f t="shared" si="57"/>
        <v>43.22789612779426</v>
      </c>
      <c r="BX50" s="178">
        <f t="shared" si="58"/>
        <v>0.21957150789783961</v>
      </c>
      <c r="BY50" s="5">
        <f t="shared" si="59"/>
        <v>3.24</v>
      </c>
      <c r="BZ50" s="178">
        <f t="shared" si="60"/>
        <v>0.93653216665804395</v>
      </c>
      <c r="CA50" s="5">
        <f t="shared" si="61"/>
        <v>93.653216665804393</v>
      </c>
      <c r="CB50">
        <f t="shared" si="92"/>
        <v>45</v>
      </c>
      <c r="CD50" s="580">
        <f t="shared" si="88"/>
        <v>-50</v>
      </c>
      <c r="CE50">
        <f t="shared" si="89"/>
        <v>-50</v>
      </c>
    </row>
    <row r="51" spans="5:83" x14ac:dyDescent="0.2">
      <c r="E51" s="175">
        <v>46</v>
      </c>
      <c r="F51" s="222">
        <f t="shared" si="93"/>
        <v>0.18400000000000002</v>
      </c>
      <c r="G51" s="222">
        <f t="shared" si="90"/>
        <v>9.2000000000000012E-2</v>
      </c>
      <c r="H51" s="222">
        <f t="shared" si="65"/>
        <v>2.2080000000000002</v>
      </c>
      <c r="I51" s="222">
        <f t="shared" si="94"/>
        <v>1.1040000000000001</v>
      </c>
      <c r="J51" s="558">
        <f t="shared" si="1"/>
        <v>24</v>
      </c>
      <c r="K51" s="453">
        <f t="shared" si="2"/>
        <v>24.5</v>
      </c>
      <c r="L51" s="453">
        <f t="shared" si="3"/>
        <v>48.5</v>
      </c>
      <c r="M51" s="453"/>
      <c r="N51" s="222">
        <f t="shared" si="4"/>
        <v>0.50515463917525771</v>
      </c>
      <c r="O51" s="177">
        <f t="shared" si="91"/>
        <v>5.5668041237113393</v>
      </c>
      <c r="P51" s="177">
        <f t="shared" si="66"/>
        <v>4.1751030927835044</v>
      </c>
      <c r="Q51" s="222">
        <f t="shared" si="6"/>
        <v>0.46390034364261162</v>
      </c>
      <c r="R51" s="222">
        <f t="shared" si="67"/>
        <v>0.46390034364261162</v>
      </c>
      <c r="S51" s="453">
        <f t="shared" si="68"/>
        <v>12</v>
      </c>
      <c r="T51" s="222">
        <f t="shared" si="69"/>
        <v>0.57512352309344805</v>
      </c>
      <c r="U51" s="222">
        <f t="shared" si="10"/>
        <v>2.0129323308270681</v>
      </c>
      <c r="V51" s="222">
        <f t="shared" si="11"/>
        <v>1.971852079177536</v>
      </c>
      <c r="W51" s="202">
        <f t="shared" si="12"/>
        <v>350</v>
      </c>
      <c r="X51" s="453">
        <f t="shared" si="48"/>
        <v>250.95460559655336</v>
      </c>
      <c r="Z51" s="222">
        <f t="shared" si="13"/>
        <v>0.41237113402061859</v>
      </c>
      <c r="AA51" s="178">
        <f t="shared" si="14"/>
        <v>1.4138438880706923</v>
      </c>
      <c r="AB51" s="178">
        <f t="shared" si="70"/>
        <v>0.20405994260814117</v>
      </c>
      <c r="AC51" s="178"/>
      <c r="AD51" s="178">
        <f t="shared" si="16"/>
        <v>0.99428571428571422</v>
      </c>
      <c r="AE51" s="562">
        <f t="shared" si="71"/>
        <v>638.12921125644095</v>
      </c>
      <c r="AF51" s="545">
        <f t="shared" si="72"/>
        <v>0.10091999999999998</v>
      </c>
      <c r="AH51" s="178">
        <f t="shared" si="73"/>
        <v>0.47466422073817577</v>
      </c>
      <c r="AI51" s="178">
        <f t="shared" si="74"/>
        <v>0.47466422073817577</v>
      </c>
      <c r="AJ51" s="178">
        <f t="shared" si="75"/>
        <v>1.336788311657908</v>
      </c>
      <c r="AL51" s="562">
        <f t="shared" si="76"/>
        <v>184.00000000000003</v>
      </c>
      <c r="AM51" s="471">
        <f t="shared" si="77"/>
        <v>250.95460559655336</v>
      </c>
      <c r="AO51">
        <f t="shared" si="49"/>
        <v>184.00000000000003</v>
      </c>
      <c r="AP51" s="471">
        <f t="shared" si="24"/>
        <v>250.95460559655336</v>
      </c>
      <c r="AQ51" s="471"/>
      <c r="AR51" s="5">
        <f t="shared" si="50"/>
        <v>3.9847844100046039</v>
      </c>
      <c r="AS51" s="5">
        <f t="shared" si="25"/>
        <v>1.6613247725836151</v>
      </c>
      <c r="AT51" s="5">
        <f t="shared" si="51"/>
        <v>2.3234596374209886</v>
      </c>
      <c r="AU51" s="178">
        <f t="shared" si="52"/>
        <v>0.41691710307150487</v>
      </c>
      <c r="AW51" s="5">
        <f t="shared" si="78"/>
        <v>2.5473646512948767</v>
      </c>
      <c r="AX51" s="5">
        <f t="shared" si="79"/>
        <v>1.2736823256474383</v>
      </c>
      <c r="AY51" s="5">
        <f t="shared" si="28"/>
        <v>0.18750726898485173</v>
      </c>
      <c r="AZ51" s="5"/>
      <c r="BA51" s="178">
        <f t="shared" si="53"/>
        <v>0.17695006440208147</v>
      </c>
      <c r="BB51" s="178">
        <f t="shared" si="80"/>
        <v>0.41852462543762353</v>
      </c>
      <c r="BC51" s="178">
        <f t="shared" si="81"/>
        <v>0.20926231271881177</v>
      </c>
      <c r="BD51" s="178"/>
      <c r="BE51" s="545">
        <f t="shared" si="31"/>
        <v>1.0958963852165273E-2</v>
      </c>
      <c r="BF51" s="545">
        <f t="shared" si="32"/>
        <v>4.3329598926359972E-2</v>
      </c>
      <c r="BG51" s="545">
        <f t="shared" si="33"/>
        <v>3.1369325699569166E-3</v>
      </c>
      <c r="BH51" s="545">
        <f t="shared" si="34"/>
        <v>2.9515398550724634E-2</v>
      </c>
      <c r="BI51">
        <f t="shared" si="35"/>
        <v>6.96E-3</v>
      </c>
      <c r="BJ51">
        <f t="shared" si="82"/>
        <v>9.4258821127378531E-2</v>
      </c>
      <c r="BK51" s="471">
        <f t="shared" si="54"/>
        <v>94.258821127378525</v>
      </c>
      <c r="BL51" s="178">
        <f t="shared" si="83"/>
        <v>5.5200000000000006E-2</v>
      </c>
      <c r="BM51" s="178">
        <f t="shared" si="84"/>
        <v>2.7600000000000003E-2</v>
      </c>
      <c r="BN51" s="545"/>
      <c r="BP51" s="471">
        <f t="shared" si="55"/>
        <v>82.800000000000011</v>
      </c>
      <c r="BQ51" s="545">
        <f t="shared" si="39"/>
        <v>2.9745759027305745E-3</v>
      </c>
      <c r="BR51" s="545">
        <f t="shared" si="56"/>
        <v>1.5764657588793276E-2</v>
      </c>
      <c r="BS51" s="545">
        <f t="shared" si="85"/>
        <v>4.3790715524425769E-3</v>
      </c>
      <c r="BT51" s="545">
        <f t="shared" si="41"/>
        <v>7.7432658831485587E-3</v>
      </c>
      <c r="BU51" s="545">
        <f t="shared" si="86"/>
        <v>3.0918754062154045E-2</v>
      </c>
      <c r="BV51" s="655">
        <f t="shared" si="87"/>
        <v>1.27218620469763E-2</v>
      </c>
      <c r="BW51" s="471">
        <f t="shared" si="57"/>
        <v>43.640616109130342</v>
      </c>
      <c r="BX51" s="178">
        <f t="shared" si="58"/>
        <v>0.22069943723650892</v>
      </c>
      <c r="BY51" s="5">
        <f t="shared" si="59"/>
        <v>3.3120000000000003</v>
      </c>
      <c r="BZ51" s="178">
        <f t="shared" si="60"/>
        <v>0.93752668712480292</v>
      </c>
      <c r="CA51" s="5">
        <f t="shared" si="61"/>
        <v>93.752668712480286</v>
      </c>
      <c r="CB51">
        <f t="shared" si="92"/>
        <v>46</v>
      </c>
      <c r="CD51" s="580">
        <f t="shared" si="88"/>
        <v>-50</v>
      </c>
      <c r="CE51">
        <f t="shared" si="89"/>
        <v>-50</v>
      </c>
    </row>
    <row r="52" spans="5:83" x14ac:dyDescent="0.2">
      <c r="E52" s="175">
        <v>47</v>
      </c>
      <c r="F52" s="222">
        <f t="shared" si="93"/>
        <v>0.188</v>
      </c>
      <c r="G52" s="222">
        <f t="shared" si="90"/>
        <v>9.4E-2</v>
      </c>
      <c r="H52" s="222">
        <f t="shared" si="65"/>
        <v>2.2560000000000002</v>
      </c>
      <c r="I52" s="222">
        <f t="shared" si="94"/>
        <v>1.1280000000000001</v>
      </c>
      <c r="J52" s="558">
        <f t="shared" si="1"/>
        <v>24</v>
      </c>
      <c r="K52" s="453">
        <f t="shared" si="2"/>
        <v>24.5</v>
      </c>
      <c r="L52" s="453">
        <f t="shared" si="3"/>
        <v>48.5</v>
      </c>
      <c r="M52" s="453"/>
      <c r="N52" s="222">
        <f t="shared" si="4"/>
        <v>0.50515463917525771</v>
      </c>
      <c r="O52" s="177">
        <f t="shared" si="91"/>
        <v>5.5668041237113393</v>
      </c>
      <c r="P52" s="177">
        <f t="shared" si="66"/>
        <v>4.1751030927835044</v>
      </c>
      <c r="Q52" s="222">
        <f t="shared" si="6"/>
        <v>0.46390034364261162</v>
      </c>
      <c r="R52" s="222">
        <f t="shared" si="67"/>
        <v>0.46390034364261162</v>
      </c>
      <c r="S52" s="453">
        <f t="shared" si="68"/>
        <v>12</v>
      </c>
      <c r="T52" s="222">
        <f t="shared" si="69"/>
        <v>0.58762620837808821</v>
      </c>
      <c r="U52" s="222">
        <f t="shared" si="10"/>
        <v>2.0566917293233087</v>
      </c>
      <c r="V52" s="222">
        <f t="shared" si="11"/>
        <v>2.0147184287248736</v>
      </c>
      <c r="W52" s="202">
        <f t="shared" si="12"/>
        <v>350</v>
      </c>
      <c r="X52" s="453">
        <f t="shared" si="48"/>
        <v>245.61514590300965</v>
      </c>
      <c r="Z52" s="222">
        <f t="shared" si="13"/>
        <v>0.41237113402061859</v>
      </c>
      <c r="AA52" s="178">
        <f t="shared" si="14"/>
        <v>1.4138438880706923</v>
      </c>
      <c r="AB52" s="178">
        <f t="shared" si="70"/>
        <v>0.20405994260814117</v>
      </c>
      <c r="AC52" s="178"/>
      <c r="AD52" s="178">
        <f t="shared" si="16"/>
        <v>0.99428571428571422</v>
      </c>
      <c r="AE52" s="562">
        <f t="shared" si="71"/>
        <v>652.00158541418966</v>
      </c>
      <c r="AF52" s="545">
        <f t="shared" si="72"/>
        <v>0.10091999999999998</v>
      </c>
      <c r="AH52" s="178">
        <f t="shared" si="73"/>
        <v>0.47979587496419046</v>
      </c>
      <c r="AI52" s="178">
        <f t="shared" si="74"/>
        <v>0.47979587496419046</v>
      </c>
      <c r="AJ52" s="178">
        <f t="shared" si="75"/>
        <v>1.3405895370105114</v>
      </c>
      <c r="AL52" s="562">
        <f t="shared" si="76"/>
        <v>188</v>
      </c>
      <c r="AM52" s="471">
        <f t="shared" si="77"/>
        <v>245.61514590300965</v>
      </c>
      <c r="AO52">
        <f t="shared" si="49"/>
        <v>188</v>
      </c>
      <c r="AP52" s="471">
        <f t="shared" si="24"/>
        <v>245.61514590300965</v>
      </c>
      <c r="AQ52" s="471"/>
      <c r="AR52" s="5">
        <f t="shared" si="50"/>
        <v>4.0714101580481827</v>
      </c>
      <c r="AS52" s="5">
        <f t="shared" si="25"/>
        <v>1.6792855623746665</v>
      </c>
      <c r="AT52" s="5">
        <f t="shared" si="51"/>
        <v>2.3921245956735162</v>
      </c>
      <c r="AU52" s="178">
        <f t="shared" si="52"/>
        <v>0.41245796841547133</v>
      </c>
      <c r="AW52" s="5">
        <f t="shared" si="78"/>
        <v>2.6308807143869775</v>
      </c>
      <c r="AX52" s="5">
        <f t="shared" si="79"/>
        <v>1.3154403571934887</v>
      </c>
      <c r="AY52" s="5">
        <f t="shared" si="28"/>
        <v>0.19724536139764082</v>
      </c>
      <c r="AZ52" s="5"/>
      <c r="BA52" s="178">
        <f t="shared" si="53"/>
        <v>0.17790400766626313</v>
      </c>
      <c r="BB52" s="178">
        <f t="shared" si="80"/>
        <v>0.42466390444130392</v>
      </c>
      <c r="BC52" s="178">
        <f t="shared" si="81"/>
        <v>0.21233195222065196</v>
      </c>
      <c r="BD52" s="178"/>
      <c r="BE52" s="545">
        <f t="shared" si="31"/>
        <v>1.1077442580301234E-2</v>
      </c>
      <c r="BF52" s="545">
        <f t="shared" si="32"/>
        <v>4.2866167431750771E-2</v>
      </c>
      <c r="BG52" s="545">
        <f t="shared" si="33"/>
        <v>3.0701893237876205E-3</v>
      </c>
      <c r="BH52" s="545">
        <f t="shared" si="34"/>
        <v>2.8887411347517725E-2</v>
      </c>
      <c r="BI52">
        <f t="shared" si="35"/>
        <v>6.96E-3</v>
      </c>
      <c r="BJ52">
        <f t="shared" si="82"/>
        <v>9.3219016389809867E-2</v>
      </c>
      <c r="BK52" s="471">
        <f t="shared" si="54"/>
        <v>93.219016389809866</v>
      </c>
      <c r="BL52" s="178">
        <f t="shared" si="83"/>
        <v>5.6399999999999999E-2</v>
      </c>
      <c r="BM52" s="178">
        <f t="shared" si="84"/>
        <v>2.8199999999999999E-2</v>
      </c>
      <c r="BN52" s="545"/>
      <c r="BP52" s="471">
        <f t="shared" si="55"/>
        <v>84.6</v>
      </c>
      <c r="BQ52" s="545">
        <f t="shared" si="39"/>
        <v>3.0067344146531925E-3</v>
      </c>
      <c r="BR52" s="545">
        <f t="shared" si="56"/>
        <v>1.6230548856179961E-2</v>
      </c>
      <c r="BS52" s="545">
        <f t="shared" si="85"/>
        <v>4.508485793383323E-3</v>
      </c>
      <c r="BT52" s="545">
        <f t="shared" si="41"/>
        <v>7.5378786087417007E-3</v>
      </c>
      <c r="BU52" s="545">
        <f t="shared" si="86"/>
        <v>3.1343189123411025E-2</v>
      </c>
      <c r="BV52" s="655">
        <f t="shared" si="87"/>
        <v>1.2721862046976297E-2</v>
      </c>
      <c r="BW52" s="471">
        <f t="shared" si="57"/>
        <v>44.065051170387321</v>
      </c>
      <c r="BX52" s="178">
        <f t="shared" si="58"/>
        <v>0.22188406756019718</v>
      </c>
      <c r="BY52" s="5">
        <f t="shared" si="59"/>
        <v>3.3840000000000003</v>
      </c>
      <c r="BZ52" s="178">
        <f t="shared" si="60"/>
        <v>0.93846611166555671</v>
      </c>
      <c r="CA52" s="5">
        <f t="shared" si="61"/>
        <v>93.846611166555675</v>
      </c>
      <c r="CB52">
        <f t="shared" si="92"/>
        <v>47</v>
      </c>
      <c r="CD52" s="580">
        <f t="shared" si="88"/>
        <v>-50</v>
      </c>
      <c r="CE52">
        <f t="shared" si="89"/>
        <v>-50</v>
      </c>
    </row>
    <row r="53" spans="5:83" x14ac:dyDescent="0.2">
      <c r="E53" s="175">
        <v>48</v>
      </c>
      <c r="F53" s="222">
        <f t="shared" si="93"/>
        <v>0.192</v>
      </c>
      <c r="G53" s="222">
        <f t="shared" si="90"/>
        <v>9.6000000000000002E-2</v>
      </c>
      <c r="H53" s="222">
        <f t="shared" si="65"/>
        <v>2.3040000000000003</v>
      </c>
      <c r="I53" s="222">
        <f t="shared" si="94"/>
        <v>1.1520000000000001</v>
      </c>
      <c r="J53" s="558">
        <f t="shared" si="1"/>
        <v>24</v>
      </c>
      <c r="K53" s="453">
        <f t="shared" si="2"/>
        <v>24.5</v>
      </c>
      <c r="L53" s="453">
        <f t="shared" si="3"/>
        <v>48.5</v>
      </c>
      <c r="M53" s="453"/>
      <c r="N53" s="222">
        <f t="shared" si="4"/>
        <v>0.50515463917525771</v>
      </c>
      <c r="O53" s="177">
        <f t="shared" si="91"/>
        <v>5.5668041237113393</v>
      </c>
      <c r="P53" s="177">
        <f t="shared" si="66"/>
        <v>4.1751030927835044</v>
      </c>
      <c r="Q53" s="222">
        <f t="shared" si="6"/>
        <v>0.46390034364261162</v>
      </c>
      <c r="R53" s="222">
        <f t="shared" si="67"/>
        <v>0.46390034364261162</v>
      </c>
      <c r="S53" s="453">
        <f t="shared" si="68"/>
        <v>12</v>
      </c>
      <c r="T53" s="222">
        <f t="shared" si="69"/>
        <v>0.60012889366272837</v>
      </c>
      <c r="U53" s="222">
        <f t="shared" si="10"/>
        <v>2.1004511278195492</v>
      </c>
      <c r="V53" s="222">
        <f t="shared" si="11"/>
        <v>2.0575847782722114</v>
      </c>
      <c r="W53" s="202">
        <f t="shared" si="12"/>
        <v>350</v>
      </c>
      <c r="X53" s="453">
        <f t="shared" si="48"/>
        <v>240.49816369669696</v>
      </c>
      <c r="Z53" s="222">
        <f t="shared" si="13"/>
        <v>0.41237113402061859</v>
      </c>
      <c r="AA53" s="178">
        <f t="shared" si="14"/>
        <v>1.4138438880706923</v>
      </c>
      <c r="AB53" s="178">
        <f t="shared" si="70"/>
        <v>0.20405994260814117</v>
      </c>
      <c r="AC53" s="178"/>
      <c r="AD53" s="178">
        <f t="shared" si="16"/>
        <v>0.99428571428571422</v>
      </c>
      <c r="AE53" s="562">
        <f t="shared" si="71"/>
        <v>665.87395957193837</v>
      </c>
      <c r="AF53" s="545">
        <f t="shared" si="72"/>
        <v>0.10091999999999998</v>
      </c>
      <c r="AH53" s="178">
        <f t="shared" si="73"/>
        <v>0.48487322138506123</v>
      </c>
      <c r="AI53" s="178">
        <f t="shared" si="74"/>
        <v>0.48487322138506123</v>
      </c>
      <c r="AJ53" s="178">
        <f t="shared" si="75"/>
        <v>1.3443505343593045</v>
      </c>
      <c r="AL53" s="562">
        <f t="shared" si="76"/>
        <v>192</v>
      </c>
      <c r="AM53" s="471">
        <f t="shared" si="77"/>
        <v>240.49816369669696</v>
      </c>
      <c r="AO53">
        <f t="shared" si="49"/>
        <v>192</v>
      </c>
      <c r="AP53" s="471">
        <f t="shared" si="24"/>
        <v>240.49816369669696</v>
      </c>
      <c r="AQ53" s="471"/>
      <c r="AR53" s="5">
        <f t="shared" si="50"/>
        <v>4.1580359060917607</v>
      </c>
      <c r="AS53" s="5">
        <f t="shared" si="25"/>
        <v>1.6970562748477145</v>
      </c>
      <c r="AT53" s="5">
        <f t="shared" si="51"/>
        <v>2.4609796312440464</v>
      </c>
      <c r="AU53" s="178">
        <f t="shared" si="52"/>
        <v>0.40813891779083245</v>
      </c>
      <c r="AW53" s="5">
        <f t="shared" si="78"/>
        <v>2.7152900397563435</v>
      </c>
      <c r="AX53" s="5">
        <f t="shared" si="79"/>
        <v>1.3576450198781718</v>
      </c>
      <c r="AY53" s="5">
        <f t="shared" si="28"/>
        <v>0.20724038999949865</v>
      </c>
      <c r="AZ53" s="5"/>
      <c r="BA53" s="178">
        <f t="shared" si="53"/>
        <v>0.17884284768961423</v>
      </c>
      <c r="BB53" s="178">
        <f t="shared" si="80"/>
        <v>0.43073231951663427</v>
      </c>
      <c r="BC53" s="178">
        <f t="shared" si="81"/>
        <v>0.21536615975831713</v>
      </c>
      <c r="BD53" s="178"/>
      <c r="BE53" s="545">
        <f t="shared" si="31"/>
        <v>1.1194667459405694E-2</v>
      </c>
      <c r="BF53" s="545">
        <f t="shared" si="32"/>
        <v>4.2417294670404358E-2</v>
      </c>
      <c r="BG53" s="545">
        <f t="shared" si="33"/>
        <v>3.006227046208712E-3</v>
      </c>
      <c r="BH53" s="545">
        <f t="shared" si="34"/>
        <v>2.8285590277777772E-2</v>
      </c>
      <c r="BI53">
        <f t="shared" si="35"/>
        <v>6.96E-3</v>
      </c>
      <c r="BJ53">
        <f t="shared" si="82"/>
        <v>9.222150225976182E-2</v>
      </c>
      <c r="BK53" s="471">
        <f t="shared" si="54"/>
        <v>92.22150225976182</v>
      </c>
      <c r="BL53" s="178">
        <f t="shared" si="83"/>
        <v>5.7599999999999998E-2</v>
      </c>
      <c r="BM53" s="178">
        <f t="shared" si="84"/>
        <v>2.8799999999999999E-2</v>
      </c>
      <c r="BN53" s="545"/>
      <c r="BP53" s="471">
        <f t="shared" si="55"/>
        <v>86.4</v>
      </c>
      <c r="BQ53" s="545">
        <f t="shared" si="39"/>
        <v>3.0385525961244028E-3</v>
      </c>
      <c r="BR53" s="545">
        <f t="shared" si="56"/>
        <v>1.6697729796856194E-2</v>
      </c>
      <c r="BS53" s="545">
        <f t="shared" si="85"/>
        <v>4.6382582769044977E-3</v>
      </c>
      <c r="BT53" s="545">
        <f t="shared" si="41"/>
        <v>7.3420935687723071E-3</v>
      </c>
      <c r="BU53" s="545">
        <f t="shared" si="86"/>
        <v>3.1778601343527786E-2</v>
      </c>
      <c r="BV53" s="655">
        <f t="shared" si="87"/>
        <v>1.27218620469763E-2</v>
      </c>
      <c r="BW53" s="471">
        <f t="shared" si="57"/>
        <v>44.500463390504088</v>
      </c>
      <c r="BX53" s="178">
        <f t="shared" si="58"/>
        <v>0.2231219656502659</v>
      </c>
      <c r="BY53" s="5">
        <f t="shared" si="59"/>
        <v>3.4560000000000004</v>
      </c>
      <c r="BZ53" s="178">
        <f t="shared" si="60"/>
        <v>0.93935456129657546</v>
      </c>
      <c r="CA53" s="5">
        <f t="shared" si="61"/>
        <v>93.935456129657553</v>
      </c>
      <c r="CB53">
        <f t="shared" si="92"/>
        <v>48</v>
      </c>
      <c r="CD53" s="580">
        <f t="shared" si="88"/>
        <v>-50</v>
      </c>
      <c r="CE53">
        <f t="shared" si="89"/>
        <v>-50</v>
      </c>
    </row>
    <row r="54" spans="5:83" x14ac:dyDescent="0.2">
      <c r="E54" s="175">
        <v>49</v>
      </c>
      <c r="F54" s="222">
        <f t="shared" si="93"/>
        <v>0.19600000000000001</v>
      </c>
      <c r="G54" s="222">
        <f t="shared" si="90"/>
        <v>9.8000000000000004E-2</v>
      </c>
      <c r="H54" s="222">
        <f t="shared" si="65"/>
        <v>2.3520000000000003</v>
      </c>
      <c r="I54" s="222">
        <f t="shared" si="94"/>
        <v>1.1760000000000002</v>
      </c>
      <c r="J54" s="558">
        <f t="shared" si="1"/>
        <v>24</v>
      </c>
      <c r="K54" s="453">
        <f t="shared" si="2"/>
        <v>24.5</v>
      </c>
      <c r="L54" s="453">
        <f t="shared" si="3"/>
        <v>48.5</v>
      </c>
      <c r="M54" s="453"/>
      <c r="N54" s="222">
        <f t="shared" si="4"/>
        <v>0.50515463917525771</v>
      </c>
      <c r="O54" s="177">
        <f t="shared" si="91"/>
        <v>5.5668041237113393</v>
      </c>
      <c r="P54" s="177">
        <f t="shared" si="66"/>
        <v>4.1751030927835044</v>
      </c>
      <c r="Q54" s="222">
        <f t="shared" si="6"/>
        <v>0.46390034364261162</v>
      </c>
      <c r="R54" s="222">
        <f t="shared" si="67"/>
        <v>0.46390034364261162</v>
      </c>
      <c r="S54" s="453">
        <f t="shared" si="68"/>
        <v>12</v>
      </c>
      <c r="T54" s="222">
        <f t="shared" si="69"/>
        <v>0.61263157894736864</v>
      </c>
      <c r="U54" s="222">
        <f t="shared" si="10"/>
        <v>2.1442105263157898</v>
      </c>
      <c r="V54" s="222">
        <f t="shared" si="11"/>
        <v>2.1004511278195492</v>
      </c>
      <c r="W54" s="202">
        <f t="shared" si="12"/>
        <v>350</v>
      </c>
      <c r="X54" s="453">
        <f t="shared" si="48"/>
        <v>235.59003790696849</v>
      </c>
      <c r="Z54" s="222">
        <f t="shared" si="13"/>
        <v>0.41237113402061859</v>
      </c>
      <c r="AA54" s="178">
        <f t="shared" si="14"/>
        <v>1.4138438880706923</v>
      </c>
      <c r="AB54" s="178">
        <f t="shared" si="70"/>
        <v>0.20405994260814117</v>
      </c>
      <c r="AC54" s="178"/>
      <c r="AD54" s="178">
        <f t="shared" si="16"/>
        <v>0.99428571428571422</v>
      </c>
      <c r="AE54" s="562">
        <f t="shared" si="71"/>
        <v>679.74633372968708</v>
      </c>
      <c r="AF54" s="545">
        <f t="shared" si="72"/>
        <v>0.10091999999999998</v>
      </c>
      <c r="AH54" s="178">
        <f t="shared" si="73"/>
        <v>0.48989794855663565</v>
      </c>
      <c r="AI54" s="178">
        <f t="shared" si="74"/>
        <v>0.48989794855663565</v>
      </c>
      <c r="AJ54" s="178">
        <f t="shared" si="75"/>
        <v>1.3480725544863967</v>
      </c>
      <c r="AL54" s="562">
        <f t="shared" si="76"/>
        <v>196</v>
      </c>
      <c r="AM54" s="471">
        <f t="shared" si="77"/>
        <v>235.59003790696849</v>
      </c>
      <c r="AO54">
        <f t="shared" si="49"/>
        <v>196</v>
      </c>
      <c r="AP54" s="471">
        <f t="shared" si="24"/>
        <v>235.59003790696849</v>
      </c>
      <c r="AQ54" s="471"/>
      <c r="AR54" s="5">
        <f t="shared" si="50"/>
        <v>4.2446616541353395</v>
      </c>
      <c r="AS54" s="5">
        <f t="shared" si="25"/>
        <v>1.7146428199482247</v>
      </c>
      <c r="AT54" s="5">
        <f t="shared" si="51"/>
        <v>2.530018834187115</v>
      </c>
      <c r="AU54" s="178">
        <f t="shared" si="52"/>
        <v>0.40395276694851351</v>
      </c>
      <c r="AW54" s="5">
        <f t="shared" si="78"/>
        <v>2.8005832725821005</v>
      </c>
      <c r="AX54" s="5">
        <f t="shared" si="79"/>
        <v>1.4002916362910502</v>
      </c>
      <c r="AY54" s="5">
        <f t="shared" si="28"/>
        <v>0.21749284714941866</v>
      </c>
      <c r="AZ54" s="5"/>
      <c r="BA54" s="178">
        <f t="shared" si="53"/>
        <v>0.17976713091074545</v>
      </c>
      <c r="BB54" s="178">
        <f t="shared" si="80"/>
        <v>0.43673231455489497</v>
      </c>
      <c r="BC54" s="178">
        <f t="shared" si="81"/>
        <v>0.21836615727744749</v>
      </c>
      <c r="BD54" s="178"/>
      <c r="BE54" s="545">
        <f t="shared" si="31"/>
        <v>1.1310677474558382E-2</v>
      </c>
      <c r="BF54" s="545">
        <f t="shared" si="32"/>
        <v>4.1982233993577665E-2</v>
      </c>
      <c r="BG54" s="545">
        <f t="shared" si="33"/>
        <v>2.9448754738371058E-3</v>
      </c>
      <c r="BH54" s="545">
        <f t="shared" si="34"/>
        <v>2.7708333333333335E-2</v>
      </c>
      <c r="BI54">
        <f t="shared" si="35"/>
        <v>6.96E-3</v>
      </c>
      <c r="BJ54">
        <f t="shared" si="82"/>
        <v>9.1263796761104507E-2</v>
      </c>
      <c r="BK54" s="471">
        <f t="shared" si="54"/>
        <v>91.263796761104501</v>
      </c>
      <c r="BL54" s="178">
        <f t="shared" si="83"/>
        <v>5.8799999999999998E-2</v>
      </c>
      <c r="BM54" s="178">
        <f t="shared" si="84"/>
        <v>2.9399999999999999E-2</v>
      </c>
      <c r="BN54" s="545"/>
      <c r="BP54" s="471">
        <f t="shared" si="55"/>
        <v>88.2</v>
      </c>
      <c r="BQ54" s="545">
        <f t="shared" si="39"/>
        <v>3.070041028808704E-3</v>
      </c>
      <c r="BR54" s="545">
        <f t="shared" si="56"/>
        <v>1.7166160311882814E-2</v>
      </c>
      <c r="BS54" s="545">
        <f t="shared" si="85"/>
        <v>4.7683778644118935E-3</v>
      </c>
      <c r="BT54" s="545">
        <f t="shared" si="41"/>
        <v>7.1552755250232948E-3</v>
      </c>
      <c r="BU54" s="545">
        <f t="shared" si="86"/>
        <v>3.2224315165397387E-2</v>
      </c>
      <c r="BV54" s="655">
        <f t="shared" si="87"/>
        <v>1.2721862046976302E-2</v>
      </c>
      <c r="BW54" s="471">
        <f t="shared" si="57"/>
        <v>44.946177212373691</v>
      </c>
      <c r="BX54" s="178">
        <f t="shared" si="58"/>
        <v>0.22440997397347823</v>
      </c>
      <c r="BY54" s="5">
        <f t="shared" si="59"/>
        <v>3.5280000000000005</v>
      </c>
      <c r="BZ54" s="178">
        <f t="shared" si="60"/>
        <v>0.94019577404122301</v>
      </c>
      <c r="CA54" s="5">
        <f t="shared" si="61"/>
        <v>94.019577404122302</v>
      </c>
      <c r="CB54">
        <f t="shared" si="92"/>
        <v>49</v>
      </c>
      <c r="CD54" s="580">
        <f t="shared" si="88"/>
        <v>-50</v>
      </c>
      <c r="CE54">
        <f t="shared" si="89"/>
        <v>-50</v>
      </c>
    </row>
    <row r="55" spans="5:83" x14ac:dyDescent="0.2">
      <c r="E55" s="175">
        <v>50</v>
      </c>
      <c r="F55" s="222">
        <f t="shared" si="93"/>
        <v>0.2</v>
      </c>
      <c r="G55" s="222">
        <f t="shared" si="90"/>
        <v>0.1</v>
      </c>
      <c r="H55" s="222">
        <f t="shared" si="65"/>
        <v>2.4000000000000004</v>
      </c>
      <c r="I55" s="222">
        <f t="shared" si="94"/>
        <v>1.2000000000000002</v>
      </c>
      <c r="J55" s="558">
        <f t="shared" si="1"/>
        <v>24</v>
      </c>
      <c r="K55" s="453">
        <f t="shared" si="2"/>
        <v>24.5</v>
      </c>
      <c r="L55" s="453">
        <f t="shared" si="3"/>
        <v>48.5</v>
      </c>
      <c r="M55" s="453"/>
      <c r="N55" s="222">
        <f t="shared" si="4"/>
        <v>0.50515463917525771</v>
      </c>
      <c r="O55" s="177">
        <f t="shared" si="91"/>
        <v>5.5668041237113393</v>
      </c>
      <c r="P55" s="177">
        <f t="shared" si="66"/>
        <v>4.1751030927835044</v>
      </c>
      <c r="Q55" s="222">
        <f t="shared" si="6"/>
        <v>0.46390034364261162</v>
      </c>
      <c r="R55" s="222">
        <f t="shared" si="67"/>
        <v>0.46390034364261162</v>
      </c>
      <c r="S55" s="453">
        <f t="shared" si="68"/>
        <v>12</v>
      </c>
      <c r="T55" s="222">
        <f t="shared" si="69"/>
        <v>0.6251342642320088</v>
      </c>
      <c r="U55" s="222">
        <f t="shared" si="10"/>
        <v>2.1879699248120308</v>
      </c>
      <c r="V55" s="222">
        <f t="shared" si="11"/>
        <v>2.1433174773668875</v>
      </c>
      <c r="W55" s="202">
        <f t="shared" si="12"/>
        <v>350</v>
      </c>
      <c r="X55" s="453">
        <f t="shared" si="48"/>
        <v>230.87823714882904</v>
      </c>
      <c r="Z55" s="222">
        <f t="shared" si="13"/>
        <v>0.41237113402061859</v>
      </c>
      <c r="AA55" s="178">
        <f t="shared" si="14"/>
        <v>1.4138438880706923</v>
      </c>
      <c r="AB55" s="178">
        <f t="shared" si="70"/>
        <v>0.20405994260814117</v>
      </c>
      <c r="AC55" s="178"/>
      <c r="AD55" s="178">
        <f t="shared" si="16"/>
        <v>0.99428571428571422</v>
      </c>
      <c r="AE55" s="562">
        <f t="shared" si="71"/>
        <v>693.61870788743579</v>
      </c>
      <c r="AF55" s="545">
        <f t="shared" si="72"/>
        <v>0.10091999999999998</v>
      </c>
      <c r="AH55" s="178">
        <f t="shared" si="73"/>
        <v>0.49487165930539356</v>
      </c>
      <c r="AI55" s="178">
        <f t="shared" si="74"/>
        <v>0.49487165930539356</v>
      </c>
      <c r="AJ55" s="178">
        <f t="shared" si="75"/>
        <v>1.3517567846706617</v>
      </c>
      <c r="AL55" s="562">
        <f t="shared" si="76"/>
        <v>200</v>
      </c>
      <c r="AM55" s="471">
        <f t="shared" si="77"/>
        <v>230.87823714882904</v>
      </c>
      <c r="AO55">
        <f t="shared" si="49"/>
        <v>200</v>
      </c>
      <c r="AP55" s="471">
        <f t="shared" si="24"/>
        <v>230.87823714882904</v>
      </c>
      <c r="AQ55" s="471"/>
      <c r="AR55" s="5">
        <f t="shared" si="50"/>
        <v>4.3312874021789183</v>
      </c>
      <c r="AS55" s="5">
        <f t="shared" si="25"/>
        <v>1.7320508075688774</v>
      </c>
      <c r="AT55" s="5">
        <f t="shared" si="51"/>
        <v>2.5992365946100406</v>
      </c>
      <c r="AU55" s="178">
        <f t="shared" si="52"/>
        <v>0.39989283710370815</v>
      </c>
      <c r="AW55" s="5">
        <f t="shared" si="78"/>
        <v>2.8867513459481295</v>
      </c>
      <c r="AX55" s="5">
        <f t="shared" si="79"/>
        <v>1.4433756729740648</v>
      </c>
      <c r="AY55" s="5">
        <f t="shared" si="28"/>
        <v>0.22800321005351232</v>
      </c>
      <c r="AZ55" s="5"/>
      <c r="BA55" s="178">
        <f t="shared" si="53"/>
        <v>0.18067737332869263</v>
      </c>
      <c r="BB55" s="178">
        <f t="shared" si="80"/>
        <v>0.44266619400296986</v>
      </c>
      <c r="BC55" s="178">
        <f t="shared" si="81"/>
        <v>0.22133309700148493</v>
      </c>
      <c r="BD55" s="178"/>
      <c r="BE55" s="545">
        <f t="shared" si="31"/>
        <v>1.1425509631534519E-2</v>
      </c>
      <c r="BF55" s="545">
        <f t="shared" si="32"/>
        <v>4.1560291284706806E-2</v>
      </c>
      <c r="BG55" s="545">
        <f t="shared" si="33"/>
        <v>2.8859779643603629E-3</v>
      </c>
      <c r="BH55" s="545">
        <f t="shared" si="34"/>
        <v>2.715416666666666E-2</v>
      </c>
      <c r="BI55">
        <f t="shared" si="35"/>
        <v>6.96E-3</v>
      </c>
      <c r="BJ55">
        <f t="shared" si="82"/>
        <v>9.0343610397762258E-2</v>
      </c>
      <c r="BK55" s="471">
        <f t="shared" si="54"/>
        <v>90.343610397762262</v>
      </c>
      <c r="BL55" s="178">
        <f t="shared" si="83"/>
        <v>0.06</v>
      </c>
      <c r="BM55" s="178">
        <f t="shared" si="84"/>
        <v>0.03</v>
      </c>
      <c r="BN55" s="545"/>
      <c r="BP55" s="471">
        <f t="shared" si="55"/>
        <v>90</v>
      </c>
      <c r="BQ55" s="545">
        <f t="shared" si="39"/>
        <v>3.1012097571307988E-3</v>
      </c>
      <c r="BR55" s="545">
        <f t="shared" si="56"/>
        <v>1.7635802338176746E-2</v>
      </c>
      <c r="BS55" s="545">
        <f t="shared" si="85"/>
        <v>4.8988339828268737E-3</v>
      </c>
      <c r="BT55" s="545">
        <f t="shared" si="41"/>
        <v>6.9768430974247774E-3</v>
      </c>
      <c r="BU55" s="545">
        <f t="shared" si="86"/>
        <v>3.2679710938719436E-2</v>
      </c>
      <c r="BV55" s="655">
        <f t="shared" si="87"/>
        <v>1.2721862046976298E-2</v>
      </c>
      <c r="BW55" s="471">
        <f t="shared" si="57"/>
        <v>45.401572985695736</v>
      </c>
      <c r="BX55" s="178">
        <f t="shared" si="58"/>
        <v>0.225745183383458</v>
      </c>
      <c r="BY55" s="5">
        <f t="shared" si="59"/>
        <v>3.6000000000000005</v>
      </c>
      <c r="BZ55" s="178">
        <f t="shared" si="60"/>
        <v>0.94099314707002757</v>
      </c>
      <c r="CA55" s="5">
        <f t="shared" si="61"/>
        <v>94.099314707002762</v>
      </c>
      <c r="CB55">
        <f t="shared" si="92"/>
        <v>50</v>
      </c>
      <c r="CD55" s="580">
        <f t="shared" si="88"/>
        <v>-50</v>
      </c>
      <c r="CE55">
        <f t="shared" si="89"/>
        <v>-50</v>
      </c>
    </row>
    <row r="56" spans="5:83" x14ac:dyDescent="0.2">
      <c r="E56" s="175">
        <v>51</v>
      </c>
      <c r="F56" s="222">
        <f t="shared" si="93"/>
        <v>0.20400000000000001</v>
      </c>
      <c r="G56" s="222">
        <f t="shared" si="90"/>
        <v>0.10200000000000001</v>
      </c>
      <c r="H56" s="222">
        <f t="shared" si="65"/>
        <v>2.4480000000000004</v>
      </c>
      <c r="I56" s="222">
        <f t="shared" si="94"/>
        <v>1.2240000000000002</v>
      </c>
      <c r="J56" s="558">
        <f t="shared" si="1"/>
        <v>24</v>
      </c>
      <c r="K56" s="453">
        <f t="shared" si="2"/>
        <v>24.5</v>
      </c>
      <c r="L56" s="453">
        <f t="shared" si="3"/>
        <v>48.5</v>
      </c>
      <c r="M56" s="453"/>
      <c r="N56" s="222">
        <f t="shared" si="4"/>
        <v>0.50515463917525771</v>
      </c>
      <c r="O56" s="177">
        <f t="shared" si="91"/>
        <v>5.5668041237113393</v>
      </c>
      <c r="P56" s="177">
        <f t="shared" si="66"/>
        <v>4.1751030927835044</v>
      </c>
      <c r="Q56" s="222">
        <f t="shared" si="6"/>
        <v>0.46390034364261162</v>
      </c>
      <c r="R56" s="222">
        <f t="shared" si="67"/>
        <v>0.46390034364261162</v>
      </c>
      <c r="S56" s="453">
        <f t="shared" si="68"/>
        <v>12</v>
      </c>
      <c r="T56" s="222">
        <f t="shared" si="69"/>
        <v>0.63763694951664895</v>
      </c>
      <c r="U56" s="222">
        <f t="shared" si="10"/>
        <v>2.2317293233082713</v>
      </c>
      <c r="V56" s="222">
        <f t="shared" si="11"/>
        <v>2.1861838269142249</v>
      </c>
      <c r="W56" s="202">
        <f t="shared" si="12"/>
        <v>350</v>
      </c>
      <c r="X56" s="453">
        <f t="shared" si="48"/>
        <v>226.35121289100891</v>
      </c>
      <c r="Z56" s="222">
        <f t="shared" si="13"/>
        <v>0.41237113402061859</v>
      </c>
      <c r="AA56" s="178">
        <f t="shared" si="14"/>
        <v>1.4138438880706923</v>
      </c>
      <c r="AB56" s="178">
        <f t="shared" si="70"/>
        <v>0.20405994260814117</v>
      </c>
      <c r="AC56" s="178"/>
      <c r="AD56" s="178">
        <f t="shared" si="16"/>
        <v>0.99428571428571422</v>
      </c>
      <c r="AE56" s="562">
        <f t="shared" si="71"/>
        <v>707.49108204518461</v>
      </c>
      <c r="AF56" s="545">
        <f t="shared" si="72"/>
        <v>0.10091999999999998</v>
      </c>
      <c r="AH56" s="178">
        <f t="shared" si="73"/>
        <v>0.49979587670102582</v>
      </c>
      <c r="AI56" s="178">
        <f t="shared" si="74"/>
        <v>0.49979587670102582</v>
      </c>
      <c r="AJ56" s="178">
        <f t="shared" si="75"/>
        <v>1.3554043531118709</v>
      </c>
      <c r="AL56" s="562">
        <f t="shared" si="76"/>
        <v>204.00000000000003</v>
      </c>
      <c r="AM56" s="471">
        <f t="shared" si="77"/>
        <v>226.35121289100891</v>
      </c>
      <c r="AO56">
        <f t="shared" si="49"/>
        <v>204.00000000000003</v>
      </c>
      <c r="AP56" s="471">
        <f t="shared" si="24"/>
        <v>226.35121289100891</v>
      </c>
      <c r="AQ56" s="471"/>
      <c r="AR56" s="5">
        <f t="shared" si="50"/>
        <v>4.4179131502224962</v>
      </c>
      <c r="AS56" s="5">
        <f t="shared" si="25"/>
        <v>1.7492855684535902</v>
      </c>
      <c r="AT56" s="5">
        <f t="shared" si="51"/>
        <v>2.6686275817689058</v>
      </c>
      <c r="AU56" s="178">
        <f t="shared" si="52"/>
        <v>0.39595291011220812</v>
      </c>
      <c r="AW56" s="5">
        <f t="shared" si="78"/>
        <v>2.9737854663711034</v>
      </c>
      <c r="AX56" s="5">
        <f t="shared" si="79"/>
        <v>1.4868927331855517</v>
      </c>
      <c r="AY56" s="5">
        <f t="shared" si="28"/>
        <v>0.23877194152669157</v>
      </c>
      <c r="AZ56" s="5"/>
      <c r="BA56" s="178">
        <f t="shared" si="53"/>
        <v>0.18157406276934915</v>
      </c>
      <c r="BB56" s="178">
        <f t="shared" si="80"/>
        <v>0.44853613389282898</v>
      </c>
      <c r="BC56" s="178">
        <f t="shared" si="81"/>
        <v>0.22426806694641449</v>
      </c>
      <c r="BD56" s="178"/>
      <c r="BE56" s="545">
        <f t="shared" si="31"/>
        <v>1.153919909469864E-2</v>
      </c>
      <c r="BF56" s="545">
        <f t="shared" si="32"/>
        <v>4.1150820300947348E-2</v>
      </c>
      <c r="BG56" s="545">
        <f t="shared" si="33"/>
        <v>2.8293901611376113E-3</v>
      </c>
      <c r="BH56" s="545">
        <f t="shared" si="34"/>
        <v>2.6621732026143787E-2</v>
      </c>
      <c r="BI56">
        <f t="shared" si="35"/>
        <v>6.96E-3</v>
      </c>
      <c r="BJ56">
        <f t="shared" si="82"/>
        <v>8.9458827719987699E-2</v>
      </c>
      <c r="BK56" s="471">
        <f t="shared" si="54"/>
        <v>89.458827719987696</v>
      </c>
      <c r="BL56" s="178">
        <f t="shared" si="83"/>
        <v>6.1200000000000004E-2</v>
      </c>
      <c r="BM56" s="178">
        <f t="shared" si="84"/>
        <v>3.0600000000000002E-2</v>
      </c>
      <c r="BN56" s="545"/>
      <c r="BP56" s="471">
        <f t="shared" si="55"/>
        <v>91.800000000000011</v>
      </c>
      <c r="BQ56" s="545">
        <f t="shared" si="39"/>
        <v>3.1320683257039165E-3</v>
      </c>
      <c r="BR56" s="545">
        <f t="shared" si="56"/>
        <v>1.8106619706677322E-2</v>
      </c>
      <c r="BS56" s="545">
        <f t="shared" si="85"/>
        <v>5.0296165851881451E-3</v>
      </c>
      <c r="BT56" s="545">
        <f t="shared" si="41"/>
        <v>6.8062632336792711E-3</v>
      </c>
      <c r="BU56" s="545">
        <f t="shared" si="86"/>
        <v>3.3144219247048093E-2</v>
      </c>
      <c r="BV56" s="655">
        <f t="shared" si="87"/>
        <v>1.27218620469763E-2</v>
      </c>
      <c r="BW56" s="471">
        <f t="shared" si="57"/>
        <v>45.86608129402439</v>
      </c>
      <c r="BX56" s="178">
        <f t="shared" si="58"/>
        <v>0.22712490901401208</v>
      </c>
      <c r="BY56" s="5">
        <f t="shared" si="59"/>
        <v>3.6720000000000006</v>
      </c>
      <c r="BZ56" s="178">
        <f t="shared" si="60"/>
        <v>0.94174977352252975</v>
      </c>
      <c r="CA56" s="5">
        <f t="shared" si="61"/>
        <v>94.174977352252981</v>
      </c>
      <c r="CB56">
        <f t="shared" si="92"/>
        <v>51</v>
      </c>
      <c r="CD56" s="580">
        <f t="shared" si="88"/>
        <v>-50</v>
      </c>
      <c r="CE56">
        <f t="shared" si="89"/>
        <v>-50</v>
      </c>
    </row>
    <row r="57" spans="5:83" x14ac:dyDescent="0.2">
      <c r="E57" s="175">
        <v>52</v>
      </c>
      <c r="F57" s="222">
        <f t="shared" si="93"/>
        <v>0.20800000000000002</v>
      </c>
      <c r="G57" s="222">
        <f t="shared" si="90"/>
        <v>0.10400000000000001</v>
      </c>
      <c r="H57" s="222">
        <f t="shared" si="65"/>
        <v>2.4960000000000004</v>
      </c>
      <c r="I57" s="222">
        <f t="shared" si="94"/>
        <v>1.2480000000000002</v>
      </c>
      <c r="J57" s="558">
        <f t="shared" si="1"/>
        <v>24</v>
      </c>
      <c r="K57" s="453">
        <f t="shared" si="2"/>
        <v>24.5</v>
      </c>
      <c r="L57" s="453">
        <f t="shared" si="3"/>
        <v>48.5</v>
      </c>
      <c r="M57" s="453"/>
      <c r="N57" s="222">
        <f t="shared" si="4"/>
        <v>0.50515463917525771</v>
      </c>
      <c r="O57" s="177">
        <f t="shared" si="91"/>
        <v>5.5668041237113393</v>
      </c>
      <c r="P57" s="177">
        <f t="shared" si="66"/>
        <v>4.1751030927835044</v>
      </c>
      <c r="Q57" s="222">
        <f t="shared" si="6"/>
        <v>0.46390034364261162</v>
      </c>
      <c r="R57" s="222">
        <f t="shared" si="67"/>
        <v>0.46390034364261162</v>
      </c>
      <c r="S57" s="453">
        <f t="shared" si="68"/>
        <v>12</v>
      </c>
      <c r="T57" s="222">
        <f t="shared" si="69"/>
        <v>0.65013963480128911</v>
      </c>
      <c r="U57" s="222">
        <f t="shared" si="10"/>
        <v>2.2754887218045119</v>
      </c>
      <c r="V57" s="222">
        <f t="shared" si="11"/>
        <v>2.2290501764615627</v>
      </c>
      <c r="W57" s="202">
        <f t="shared" si="12"/>
        <v>350</v>
      </c>
      <c r="X57" s="453">
        <f t="shared" si="48"/>
        <v>221.99830495079718</v>
      </c>
      <c r="Z57" s="222">
        <f t="shared" si="13"/>
        <v>0.41237113402061859</v>
      </c>
      <c r="AA57" s="178">
        <f t="shared" si="14"/>
        <v>1.4138438880706923</v>
      </c>
      <c r="AB57" s="178">
        <f t="shared" si="70"/>
        <v>0.20405994260814117</v>
      </c>
      <c r="AC57" s="178"/>
      <c r="AD57" s="178">
        <f t="shared" si="16"/>
        <v>0.99428571428571422</v>
      </c>
      <c r="AE57" s="562">
        <f t="shared" si="71"/>
        <v>721.36345620293321</v>
      </c>
      <c r="AF57" s="545">
        <f t="shared" si="72"/>
        <v>0.10091999999999998</v>
      </c>
      <c r="AH57" s="178">
        <f t="shared" si="73"/>
        <v>0.50467204950444844</v>
      </c>
      <c r="AI57" s="178">
        <f t="shared" si="74"/>
        <v>0.65013963480128911</v>
      </c>
      <c r="AJ57" s="178">
        <f t="shared" si="75"/>
        <v>1.4667700998528068</v>
      </c>
      <c r="AL57" s="562">
        <f t="shared" si="76"/>
        <v>208.00000000000003</v>
      </c>
      <c r="AM57" s="471">
        <f t="shared" si="77"/>
        <v>221.99830495079718</v>
      </c>
      <c r="AO57">
        <f t="shared" si="49"/>
        <v>208.00000000000003</v>
      </c>
      <c r="AP57" s="471">
        <f t="shared" si="24"/>
        <v>221.99830495079718</v>
      </c>
      <c r="AQ57" s="471"/>
      <c r="AR57" s="5">
        <f t="shared" si="50"/>
        <v>4.504538898266075</v>
      </c>
      <c r="AS57" s="5">
        <f t="shared" si="25"/>
        <v>2.2754887218045119</v>
      </c>
      <c r="AT57" s="5">
        <f t="shared" si="51"/>
        <v>2.2290501764615631</v>
      </c>
      <c r="AU57" s="178">
        <f t="shared" si="52"/>
        <v>0.50515463917525771</v>
      </c>
      <c r="AW57" s="5">
        <f t="shared" si="78"/>
        <v>3.9441804511278211</v>
      </c>
      <c r="AX57" s="5">
        <f t="shared" si="79"/>
        <v>1.9720902255639106</v>
      </c>
      <c r="AY57" s="5">
        <f t="shared" si="28"/>
        <v>0.20335194592280928</v>
      </c>
      <c r="AZ57" s="5"/>
      <c r="BA57" s="178">
        <f t="shared" si="53"/>
        <v>0.26678302246016938</v>
      </c>
      <c r="BB57" s="178">
        <f t="shared" si="80"/>
        <v>0.52809342799748837</v>
      </c>
      <c r="BC57" s="178">
        <f t="shared" si="81"/>
        <v>0.26404671399874419</v>
      </c>
      <c r="BD57" s="178"/>
      <c r="BE57" s="545">
        <f t="shared" si="31"/>
        <v>2.4910613375544136E-2</v>
      </c>
      <c r="BF57" s="545">
        <f t="shared" si="32"/>
        <v>5.2499999999999998E-2</v>
      </c>
      <c r="BG57" s="545">
        <f t="shared" si="33"/>
        <v>2.7749788118849646E-3</v>
      </c>
      <c r="BH57" s="545">
        <f t="shared" si="34"/>
        <v>2.6109775641025634E-2</v>
      </c>
      <c r="BI57">
        <f t="shared" si="35"/>
        <v>6.96E-3</v>
      </c>
      <c r="BJ57">
        <f t="shared" si="82"/>
        <v>0.11424144601533157</v>
      </c>
      <c r="BK57" s="471">
        <f t="shared" si="54"/>
        <v>114.24144601533156</v>
      </c>
      <c r="BL57" s="178">
        <f t="shared" si="83"/>
        <v>6.2400000000000004E-2</v>
      </c>
      <c r="BM57" s="178">
        <f t="shared" si="84"/>
        <v>3.1200000000000002E-2</v>
      </c>
      <c r="BN57" s="545"/>
      <c r="BP57" s="471">
        <f t="shared" si="55"/>
        <v>93.600000000000009</v>
      </c>
      <c r="BQ57" s="545">
        <f t="shared" si="39"/>
        <v>6.7614522019334086E-3</v>
      </c>
      <c r="BR57" s="545">
        <f t="shared" si="56"/>
        <v>2.5099440182472458E-2</v>
      </c>
      <c r="BS57" s="545">
        <f t="shared" si="85"/>
        <v>6.9720667173534603E-3</v>
      </c>
      <c r="BT57" s="545">
        <f t="shared" si="41"/>
        <v>1.2512980214660069E-2</v>
      </c>
      <c r="BU57" s="545">
        <f t="shared" si="86"/>
        <v>5.1505949591136989E-2</v>
      </c>
      <c r="BV57" s="655">
        <f t="shared" si="87"/>
        <v>2.1112781954887222E-2</v>
      </c>
      <c r="BW57" s="471">
        <f t="shared" si="57"/>
        <v>72.618731546024222</v>
      </c>
      <c r="BX57" s="178">
        <f t="shared" si="58"/>
        <v>0.28046017756135577</v>
      </c>
      <c r="BY57" s="5">
        <f t="shared" si="59"/>
        <v>3.7440000000000007</v>
      </c>
      <c r="BZ57" s="178">
        <f t="shared" si="60"/>
        <v>0.93031110628822222</v>
      </c>
      <c r="CA57" s="5">
        <f t="shared" si="61"/>
        <v>93.031110628822219</v>
      </c>
      <c r="CB57">
        <f t="shared" si="92"/>
        <v>52</v>
      </c>
      <c r="CD57" s="580">
        <f t="shared" si="88"/>
        <v>-50</v>
      </c>
      <c r="CE57">
        <f t="shared" si="89"/>
        <v>-50</v>
      </c>
    </row>
    <row r="58" spans="5:83" x14ac:dyDescent="0.2">
      <c r="E58" s="175">
        <v>53</v>
      </c>
      <c r="F58" s="222">
        <f t="shared" si="93"/>
        <v>0.21200000000000002</v>
      </c>
      <c r="G58" s="222">
        <f t="shared" si="90"/>
        <v>0.10600000000000001</v>
      </c>
      <c r="H58" s="222">
        <f t="shared" si="65"/>
        <v>2.5440000000000005</v>
      </c>
      <c r="I58" s="222">
        <f t="shared" si="94"/>
        <v>1.2720000000000002</v>
      </c>
      <c r="J58" s="558">
        <f t="shared" si="1"/>
        <v>24</v>
      </c>
      <c r="K58" s="453">
        <f t="shared" si="2"/>
        <v>24.5</v>
      </c>
      <c r="L58" s="453">
        <f t="shared" si="3"/>
        <v>48.5</v>
      </c>
      <c r="M58" s="453"/>
      <c r="N58" s="222">
        <f t="shared" si="4"/>
        <v>0.50515463917525771</v>
      </c>
      <c r="O58" s="177">
        <f t="shared" si="91"/>
        <v>5.5668041237113393</v>
      </c>
      <c r="P58" s="177">
        <f t="shared" si="66"/>
        <v>4.1751030927835044</v>
      </c>
      <c r="Q58" s="222">
        <f t="shared" si="6"/>
        <v>0.46390034364261162</v>
      </c>
      <c r="R58" s="222">
        <f t="shared" si="67"/>
        <v>0.46390034364261162</v>
      </c>
      <c r="S58" s="453">
        <f t="shared" si="68"/>
        <v>12</v>
      </c>
      <c r="T58" s="222">
        <f t="shared" si="69"/>
        <v>0.66264232008592938</v>
      </c>
      <c r="U58" s="222">
        <f t="shared" si="10"/>
        <v>2.3192481203007529</v>
      </c>
      <c r="V58" s="222">
        <f t="shared" si="11"/>
        <v>2.2719165260089005</v>
      </c>
      <c r="W58" s="202">
        <f t="shared" si="12"/>
        <v>350</v>
      </c>
      <c r="X58" s="453">
        <f t="shared" si="48"/>
        <v>217.80965768757454</v>
      </c>
      <c r="Z58" s="222">
        <f t="shared" si="13"/>
        <v>0.41237113402061859</v>
      </c>
      <c r="AA58" s="178">
        <f t="shared" si="14"/>
        <v>1.4138438880706923</v>
      </c>
      <c r="AB58" s="178">
        <f t="shared" si="70"/>
        <v>0.20405994260814117</v>
      </c>
      <c r="AC58" s="178"/>
      <c r="AD58" s="178">
        <f t="shared" si="16"/>
        <v>0.99428571428571422</v>
      </c>
      <c r="AE58" s="562">
        <f t="shared" si="71"/>
        <v>735.23583036068203</v>
      </c>
      <c r="AF58" s="545">
        <f t="shared" si="72"/>
        <v>0.10091999999999998</v>
      </c>
      <c r="AH58" s="178">
        <f t="shared" si="73"/>
        <v>0.50950155714648604</v>
      </c>
      <c r="AI58" s="178">
        <f t="shared" si="74"/>
        <v>0.66264232008592938</v>
      </c>
      <c r="AJ58" s="178">
        <f t="shared" si="75"/>
        <v>1.4760313482117995</v>
      </c>
      <c r="AL58" s="562">
        <f t="shared" si="76"/>
        <v>212.00000000000003</v>
      </c>
      <c r="AM58" s="471">
        <f t="shared" si="77"/>
        <v>217.80965768757454</v>
      </c>
      <c r="AO58">
        <f t="shared" si="49"/>
        <v>212.00000000000003</v>
      </c>
      <c r="AP58" s="471">
        <f t="shared" si="24"/>
        <v>217.80965768757454</v>
      </c>
      <c r="AQ58" s="471"/>
      <c r="AR58" s="5">
        <f t="shared" si="50"/>
        <v>4.5911646463096538</v>
      </c>
      <c r="AS58" s="5">
        <f t="shared" si="25"/>
        <v>2.3192481203007529</v>
      </c>
      <c r="AT58" s="5">
        <f t="shared" si="51"/>
        <v>2.2719165260089009</v>
      </c>
      <c r="AU58" s="178">
        <f t="shared" si="52"/>
        <v>0.50515463917525771</v>
      </c>
      <c r="AW58" s="5">
        <f t="shared" si="78"/>
        <v>4.0973383458646637</v>
      </c>
      <c r="AX58" s="5">
        <f t="shared" si="79"/>
        <v>2.0486691729323319</v>
      </c>
      <c r="AY58" s="5">
        <f t="shared" si="28"/>
        <v>0.211248378734161</v>
      </c>
      <c r="AZ58" s="5"/>
      <c r="BA58" s="178">
        <f t="shared" si="53"/>
        <v>0.2719134651997881</v>
      </c>
      <c r="BB58" s="178">
        <f t="shared" si="80"/>
        <v>0.53824907084359397</v>
      </c>
      <c r="BC58" s="178">
        <f t="shared" si="81"/>
        <v>0.26912453542179698</v>
      </c>
      <c r="BD58" s="178"/>
      <c r="BE58" s="545">
        <f t="shared" si="31"/>
        <v>2.5877926394934726E-2</v>
      </c>
      <c r="BF58" s="545">
        <f t="shared" si="32"/>
        <v>5.2499999999999991E-2</v>
      </c>
      <c r="BG58" s="545">
        <f t="shared" si="33"/>
        <v>2.722620721094682E-3</v>
      </c>
      <c r="BH58" s="545">
        <f t="shared" si="34"/>
        <v>2.561713836477986E-2</v>
      </c>
      <c r="BI58">
        <f t="shared" si="35"/>
        <v>6.96E-3</v>
      </c>
      <c r="BJ58">
        <f t="shared" si="82"/>
        <v>0.11470622193259497</v>
      </c>
      <c r="BK58" s="471">
        <f t="shared" si="54"/>
        <v>114.70622193259497</v>
      </c>
      <c r="BL58" s="178">
        <f t="shared" si="83"/>
        <v>6.3600000000000004E-2</v>
      </c>
      <c r="BM58" s="178">
        <f t="shared" si="84"/>
        <v>3.1800000000000002E-2</v>
      </c>
      <c r="BN58" s="545"/>
      <c r="BP58" s="471">
        <f t="shared" si="55"/>
        <v>95.4</v>
      </c>
      <c r="BQ58" s="545">
        <f t="shared" si="39"/>
        <v>7.0240085929108549E-3</v>
      </c>
      <c r="BR58" s="545">
        <f t="shared" si="56"/>
        <v>2.6074085603759303E-2</v>
      </c>
      <c r="BS58" s="545">
        <f t="shared" si="85"/>
        <v>7.2428015565998071E-3</v>
      </c>
      <c r="BT58" s="545">
        <f t="shared" si="41"/>
        <v>1.2512980214660081E-2</v>
      </c>
      <c r="BU58" s="545">
        <f t="shared" si="86"/>
        <v>5.3025002054345349E-2</v>
      </c>
      <c r="BV58" s="655">
        <f t="shared" si="87"/>
        <v>2.1518796992481212E-2</v>
      </c>
      <c r="BW58" s="471">
        <f t="shared" si="57"/>
        <v>74.543799046826564</v>
      </c>
      <c r="BX58" s="178">
        <f t="shared" si="58"/>
        <v>0.28465002097942155</v>
      </c>
      <c r="BY58" s="5">
        <f t="shared" si="59"/>
        <v>3.8160000000000007</v>
      </c>
      <c r="BZ58" s="178">
        <f t="shared" si="60"/>
        <v>0.93058417091848422</v>
      </c>
      <c r="CA58" s="5">
        <f t="shared" si="61"/>
        <v>93.058417091848426</v>
      </c>
      <c r="CB58">
        <f t="shared" si="92"/>
        <v>53</v>
      </c>
      <c r="CD58" s="580">
        <f t="shared" si="88"/>
        <v>-50</v>
      </c>
      <c r="CE58">
        <f t="shared" si="89"/>
        <v>-50</v>
      </c>
    </row>
    <row r="59" spans="5:83" x14ac:dyDescent="0.2">
      <c r="E59" s="175">
        <v>54</v>
      </c>
      <c r="F59" s="222">
        <f t="shared" si="93"/>
        <v>0.21600000000000003</v>
      </c>
      <c r="G59" s="222">
        <f t="shared" si="90"/>
        <v>0.10800000000000001</v>
      </c>
      <c r="H59" s="222">
        <f t="shared" si="65"/>
        <v>2.5920000000000005</v>
      </c>
      <c r="I59" s="222">
        <f t="shared" si="94"/>
        <v>1.2960000000000003</v>
      </c>
      <c r="J59" s="558">
        <f t="shared" si="1"/>
        <v>24</v>
      </c>
      <c r="K59" s="453">
        <f t="shared" si="2"/>
        <v>24.5</v>
      </c>
      <c r="L59" s="453">
        <f t="shared" si="3"/>
        <v>48.5</v>
      </c>
      <c r="M59" s="453"/>
      <c r="N59" s="222">
        <f t="shared" si="4"/>
        <v>0.50515463917525771</v>
      </c>
      <c r="O59" s="177">
        <f t="shared" si="91"/>
        <v>5.5668041237113393</v>
      </c>
      <c r="P59" s="177">
        <f t="shared" si="66"/>
        <v>4.1751030927835044</v>
      </c>
      <c r="Q59" s="222">
        <f t="shared" si="6"/>
        <v>0.46390034364261162</v>
      </c>
      <c r="R59" s="222">
        <f t="shared" si="67"/>
        <v>0.46390034364261162</v>
      </c>
      <c r="S59" s="453">
        <f t="shared" si="68"/>
        <v>12</v>
      </c>
      <c r="T59" s="222">
        <f t="shared" si="69"/>
        <v>0.67514500537056954</v>
      </c>
      <c r="U59" s="222">
        <f t="shared" si="10"/>
        <v>2.3630075187969934</v>
      </c>
      <c r="V59" s="222">
        <f t="shared" si="11"/>
        <v>2.3147828755562383</v>
      </c>
      <c r="W59" s="202">
        <f t="shared" si="12"/>
        <v>350</v>
      </c>
      <c r="X59" s="453">
        <f t="shared" si="48"/>
        <v>213.77614550817506</v>
      </c>
      <c r="Z59" s="222">
        <f t="shared" si="13"/>
        <v>0.41237113402061859</v>
      </c>
      <c r="AA59" s="178">
        <f t="shared" si="14"/>
        <v>1.4138438880706923</v>
      </c>
      <c r="AB59" s="178">
        <f t="shared" si="70"/>
        <v>0.20405994260814117</v>
      </c>
      <c r="AC59" s="178"/>
      <c r="AD59" s="178">
        <f t="shared" si="16"/>
        <v>0.99428571428571422</v>
      </c>
      <c r="AE59" s="562">
        <f t="shared" si="71"/>
        <v>749.10820451843074</v>
      </c>
      <c r="AF59" s="545">
        <f t="shared" si="72"/>
        <v>0.10091999999999998</v>
      </c>
      <c r="AH59" s="178">
        <f t="shared" si="73"/>
        <v>0.51428571428571435</v>
      </c>
      <c r="AI59" s="178">
        <f t="shared" si="74"/>
        <v>0.67514500537056954</v>
      </c>
      <c r="AJ59" s="178">
        <f t="shared" si="75"/>
        <v>1.4852925965707922</v>
      </c>
      <c r="AL59" s="562">
        <f t="shared" si="76"/>
        <v>216.00000000000003</v>
      </c>
      <c r="AM59" s="471">
        <f t="shared" si="77"/>
        <v>213.77614550817506</v>
      </c>
      <c r="AO59">
        <f t="shared" si="49"/>
        <v>216.00000000000003</v>
      </c>
      <c r="AP59" s="471">
        <f t="shared" si="24"/>
        <v>213.77614550817506</v>
      </c>
      <c r="AQ59" s="471"/>
      <c r="AR59" s="5">
        <f t="shared" si="50"/>
        <v>4.6777903943532317</v>
      </c>
      <c r="AS59" s="5">
        <f t="shared" si="25"/>
        <v>2.3630075187969934</v>
      </c>
      <c r="AT59" s="5">
        <f t="shared" si="51"/>
        <v>2.3147828755562383</v>
      </c>
      <c r="AU59" s="178">
        <f t="shared" si="52"/>
        <v>0.50515463917525771</v>
      </c>
      <c r="AW59" s="5">
        <f t="shared" si="78"/>
        <v>4.2534135338345891</v>
      </c>
      <c r="AX59" s="5">
        <f t="shared" si="79"/>
        <v>2.1267067669172945</v>
      </c>
      <c r="AY59" s="5">
        <f t="shared" si="28"/>
        <v>0.21929521978953839</v>
      </c>
      <c r="AZ59" s="5"/>
      <c r="BA59" s="178">
        <f t="shared" si="53"/>
        <v>0.2770439079394067</v>
      </c>
      <c r="BB59" s="178">
        <f t="shared" si="80"/>
        <v>0.54840471368969956</v>
      </c>
      <c r="BC59" s="178">
        <f t="shared" si="81"/>
        <v>0.27420235684484978</v>
      </c>
      <c r="BD59" s="178"/>
      <c r="BE59" s="545">
        <f t="shared" si="31"/>
        <v>2.6863664424218454E-2</v>
      </c>
      <c r="BF59" s="545">
        <f t="shared" si="32"/>
        <v>5.2500000000000005E-2</v>
      </c>
      <c r="BG59" s="545">
        <f t="shared" si="33"/>
        <v>2.6722018188521882E-3</v>
      </c>
      <c r="BH59" s="545">
        <f t="shared" si="34"/>
        <v>2.514274691358024E-2</v>
      </c>
      <c r="BI59">
        <f t="shared" si="35"/>
        <v>6.96E-3</v>
      </c>
      <c r="BJ59">
        <f t="shared" si="82"/>
        <v>0.11521102732191597</v>
      </c>
      <c r="BK59" s="471">
        <f t="shared" si="54"/>
        <v>115.21102732191598</v>
      </c>
      <c r="BL59" s="178">
        <f t="shared" si="83"/>
        <v>6.480000000000001E-2</v>
      </c>
      <c r="BM59" s="178">
        <f t="shared" si="84"/>
        <v>3.2400000000000005E-2</v>
      </c>
      <c r="BN59" s="545"/>
      <c r="BP59" s="471">
        <f t="shared" si="55"/>
        <v>97.2</v>
      </c>
      <c r="BQ59" s="545">
        <f t="shared" si="39"/>
        <v>7.2915660580021528E-3</v>
      </c>
      <c r="BR59" s="545">
        <f t="shared" si="56"/>
        <v>2.7067295699737318E-2</v>
      </c>
      <c r="BS59" s="545">
        <f t="shared" si="85"/>
        <v>7.5186932499270338E-3</v>
      </c>
      <c r="BT59" s="545">
        <f t="shared" si="41"/>
        <v>1.251298021466009E-2</v>
      </c>
      <c r="BU59" s="545">
        <f t="shared" si="86"/>
        <v>5.45733671571327E-2</v>
      </c>
      <c r="BV59" s="655">
        <f t="shared" si="87"/>
        <v>2.1924812030075198E-2</v>
      </c>
      <c r="BW59" s="471">
        <f t="shared" si="57"/>
        <v>76.498179187207896</v>
      </c>
      <c r="BX59" s="178">
        <f t="shared" si="58"/>
        <v>0.28890920650912388</v>
      </c>
      <c r="BY59" s="5">
        <f t="shared" si="59"/>
        <v>3.8880000000000008</v>
      </c>
      <c r="BZ59" s="178">
        <f t="shared" si="60"/>
        <v>0.93083182031850265</v>
      </c>
      <c r="CA59" s="5">
        <f t="shared" si="61"/>
        <v>93.083182031850271</v>
      </c>
      <c r="CB59">
        <f t="shared" si="92"/>
        <v>54</v>
      </c>
      <c r="CD59" s="580">
        <f t="shared" si="88"/>
        <v>-50</v>
      </c>
      <c r="CE59">
        <f t="shared" si="89"/>
        <v>-50</v>
      </c>
    </row>
    <row r="60" spans="5:83" x14ac:dyDescent="0.2">
      <c r="E60" s="175">
        <v>55</v>
      </c>
      <c r="F60" s="222">
        <f t="shared" si="93"/>
        <v>0.22000000000000003</v>
      </c>
      <c r="G60" s="222">
        <f t="shared" si="90"/>
        <v>0.11000000000000001</v>
      </c>
      <c r="H60" s="222">
        <f t="shared" si="65"/>
        <v>2.6400000000000006</v>
      </c>
      <c r="I60" s="222">
        <f t="shared" si="94"/>
        <v>1.3200000000000003</v>
      </c>
      <c r="J60" s="558">
        <f t="shared" si="1"/>
        <v>24</v>
      </c>
      <c r="K60" s="453">
        <f t="shared" si="2"/>
        <v>24.5</v>
      </c>
      <c r="L60" s="453">
        <f t="shared" si="3"/>
        <v>48.5</v>
      </c>
      <c r="M60" s="453"/>
      <c r="N60" s="222">
        <f t="shared" si="4"/>
        <v>0.50515463917525771</v>
      </c>
      <c r="O60" s="177">
        <f t="shared" si="91"/>
        <v>5.5668041237113393</v>
      </c>
      <c r="P60" s="177">
        <f t="shared" si="66"/>
        <v>4.1751030927835044</v>
      </c>
      <c r="Q60" s="222">
        <f t="shared" si="6"/>
        <v>0.46390034364261162</v>
      </c>
      <c r="R60" s="222">
        <f t="shared" si="67"/>
        <v>0.46390034364261162</v>
      </c>
      <c r="S60" s="453">
        <f t="shared" si="68"/>
        <v>12</v>
      </c>
      <c r="T60" s="222">
        <f t="shared" si="69"/>
        <v>0.6876476906552097</v>
      </c>
      <c r="U60" s="222">
        <f t="shared" si="10"/>
        <v>2.4067669172932336</v>
      </c>
      <c r="V60" s="222">
        <f t="shared" si="11"/>
        <v>2.3576492251035757</v>
      </c>
      <c r="W60" s="202">
        <f t="shared" si="12"/>
        <v>350</v>
      </c>
      <c r="X60" s="453">
        <f t="shared" si="48"/>
        <v>209.88930649893553</v>
      </c>
      <c r="Z60" s="222">
        <f t="shared" si="13"/>
        <v>0.41237113402061859</v>
      </c>
      <c r="AA60" s="178">
        <f t="shared" si="14"/>
        <v>1.4138438880706923</v>
      </c>
      <c r="AB60" s="178">
        <f t="shared" si="70"/>
        <v>0.20405994260814117</v>
      </c>
      <c r="AC60" s="178"/>
      <c r="AD60" s="178">
        <f t="shared" si="16"/>
        <v>0.99428571428571422</v>
      </c>
      <c r="AE60" s="562">
        <f t="shared" si="71"/>
        <v>762.98057867617945</v>
      </c>
      <c r="AF60" s="545">
        <f t="shared" si="72"/>
        <v>0.10091999999999998</v>
      </c>
      <c r="AH60" s="178">
        <f t="shared" si="73"/>
        <v>0.51902577498814151</v>
      </c>
      <c r="AI60" s="178">
        <f t="shared" si="74"/>
        <v>0.6876476906552097</v>
      </c>
      <c r="AJ60" s="178">
        <f t="shared" si="75"/>
        <v>1.494553844929785</v>
      </c>
      <c r="AL60" s="562">
        <f t="shared" si="76"/>
        <v>220.00000000000003</v>
      </c>
      <c r="AM60" s="471">
        <f t="shared" si="77"/>
        <v>209.88930649893553</v>
      </c>
      <c r="AO60">
        <f t="shared" si="49"/>
        <v>220.00000000000003</v>
      </c>
      <c r="AP60">
        <f t="shared" si="24"/>
        <v>209.88930649893553</v>
      </c>
      <c r="AR60" s="5">
        <f t="shared" si="50"/>
        <v>4.7644161423968097</v>
      </c>
      <c r="AS60" s="5">
        <f t="shared" si="25"/>
        <v>2.4067669172932336</v>
      </c>
      <c r="AT60" s="5">
        <f t="shared" si="51"/>
        <v>2.3576492251035761</v>
      </c>
      <c r="AU60" s="178">
        <f t="shared" si="52"/>
        <v>0.50515463917525771</v>
      </c>
      <c r="AW60" s="5">
        <f t="shared" si="78"/>
        <v>4.412406015037595</v>
      </c>
      <c r="AX60" s="5">
        <f t="shared" si="79"/>
        <v>2.2062030075187975</v>
      </c>
      <c r="AY60" s="5">
        <f t="shared" si="28"/>
        <v>0.22749246908894155</v>
      </c>
      <c r="AZ60" s="5"/>
      <c r="BA60" s="178">
        <f t="shared" si="53"/>
        <v>0.28217435067902535</v>
      </c>
      <c r="BB60" s="178">
        <f t="shared" si="80"/>
        <v>0.55856035653580505</v>
      </c>
      <c r="BC60" s="178">
        <f t="shared" si="81"/>
        <v>0.27928017826790252</v>
      </c>
      <c r="BD60" s="178"/>
      <c r="BE60" s="545">
        <f t="shared" si="31"/>
        <v>2.7867827463395348E-2</v>
      </c>
      <c r="BF60" s="545">
        <f t="shared" si="32"/>
        <v>5.2500000000000005E-2</v>
      </c>
      <c r="BG60" s="545">
        <f t="shared" si="33"/>
        <v>2.6236163312366939E-3</v>
      </c>
      <c r="BH60" s="545">
        <f t="shared" si="34"/>
        <v>2.4685606060606057E-2</v>
      </c>
      <c r="BI60">
        <f t="shared" si="35"/>
        <v>6.96E-3</v>
      </c>
      <c r="BJ60">
        <f t="shared" si="82"/>
        <v>0.1157548016272313</v>
      </c>
      <c r="BK60" s="471">
        <f t="shared" si="54"/>
        <v>115.7548016272313</v>
      </c>
      <c r="BL60" s="178">
        <f t="shared" si="83"/>
        <v>6.6000000000000003E-2</v>
      </c>
      <c r="BM60" s="178">
        <f t="shared" si="84"/>
        <v>3.3000000000000002E-2</v>
      </c>
      <c r="BN60" s="545"/>
      <c r="BP60" s="471">
        <f t="shared" si="55"/>
        <v>99</v>
      </c>
      <c r="BQ60" s="545">
        <f t="shared" si="39"/>
        <v>7.564124597207309E-3</v>
      </c>
      <c r="BR60" s="545">
        <f t="shared" si="56"/>
        <v>2.8079070470406507E-2</v>
      </c>
      <c r="BS60" s="545">
        <f t="shared" si="85"/>
        <v>7.7997417973351413E-3</v>
      </c>
      <c r="BT60" s="545">
        <f t="shared" si="41"/>
        <v>1.2512980214660071E-2</v>
      </c>
      <c r="BU60" s="545">
        <f t="shared" si="86"/>
        <v>5.615106645841321E-2</v>
      </c>
      <c r="BV60" s="655">
        <f t="shared" si="87"/>
        <v>2.2330827067669184E-2</v>
      </c>
      <c r="BW60" s="471">
        <f t="shared" si="57"/>
        <v>78.481893526082402</v>
      </c>
      <c r="BX60" s="178">
        <f t="shared" si="58"/>
        <v>0.29323669515331369</v>
      </c>
      <c r="BY60" s="5">
        <f t="shared" si="59"/>
        <v>3.9600000000000009</v>
      </c>
      <c r="BZ60" s="178">
        <f t="shared" si="60"/>
        <v>0.93105563687827075</v>
      </c>
      <c r="CA60" s="5">
        <f t="shared" si="61"/>
        <v>93.105563687827072</v>
      </c>
      <c r="CB60">
        <f t="shared" si="92"/>
        <v>55.000000000000007</v>
      </c>
      <c r="CD60" s="580">
        <f t="shared" si="88"/>
        <v>-50</v>
      </c>
      <c r="CE60">
        <f t="shared" si="89"/>
        <v>-50</v>
      </c>
    </row>
    <row r="61" spans="5:83" x14ac:dyDescent="0.2">
      <c r="E61" s="175">
        <v>56</v>
      </c>
      <c r="F61" s="222">
        <f t="shared" si="93"/>
        <v>0.22400000000000003</v>
      </c>
      <c r="G61" s="222">
        <f t="shared" si="90"/>
        <v>0.11200000000000002</v>
      </c>
      <c r="H61" s="222">
        <f t="shared" si="65"/>
        <v>2.6880000000000006</v>
      </c>
      <c r="I61" s="222">
        <f t="shared" si="94"/>
        <v>1.3440000000000003</v>
      </c>
      <c r="J61" s="558">
        <f t="shared" si="1"/>
        <v>24</v>
      </c>
      <c r="K61" s="453">
        <f t="shared" si="2"/>
        <v>24.5</v>
      </c>
      <c r="L61" s="453">
        <f t="shared" si="3"/>
        <v>48.5</v>
      </c>
      <c r="M61" s="453"/>
      <c r="N61" s="222">
        <f t="shared" si="4"/>
        <v>0.50515463917525771</v>
      </c>
      <c r="O61" s="177">
        <f t="shared" si="91"/>
        <v>5.5668041237113393</v>
      </c>
      <c r="P61" s="177">
        <f t="shared" si="66"/>
        <v>4.1751030927835044</v>
      </c>
      <c r="Q61" s="222">
        <f t="shared" si="6"/>
        <v>0.46390034364261162</v>
      </c>
      <c r="R61" s="222">
        <f t="shared" si="67"/>
        <v>0.46390034364261162</v>
      </c>
      <c r="S61" s="453">
        <f t="shared" si="68"/>
        <v>12</v>
      </c>
      <c r="T61" s="222">
        <f t="shared" si="69"/>
        <v>0.70015037593984986</v>
      </c>
      <c r="U61" s="222">
        <f t="shared" si="10"/>
        <v>2.4505263157894746</v>
      </c>
      <c r="V61" s="222">
        <f t="shared" si="11"/>
        <v>2.4005155746509135</v>
      </c>
      <c r="W61" s="202">
        <f t="shared" si="12"/>
        <v>350</v>
      </c>
      <c r="X61" s="453">
        <f t="shared" si="48"/>
        <v>206.14128316859737</v>
      </c>
      <c r="Z61" s="222">
        <f t="shared" si="13"/>
        <v>0.41237113402061859</v>
      </c>
      <c r="AA61" s="178">
        <f t="shared" si="14"/>
        <v>1.4138438880706923</v>
      </c>
      <c r="AB61" s="178">
        <f t="shared" si="70"/>
        <v>0.20405994260814117</v>
      </c>
      <c r="AC61" s="178"/>
      <c r="AD61" s="178">
        <f t="shared" si="16"/>
        <v>0.99428571428571422</v>
      </c>
      <c r="AE61" s="562">
        <f t="shared" si="71"/>
        <v>776.85295283392816</v>
      </c>
      <c r="AF61" s="545">
        <f t="shared" si="72"/>
        <v>0.10091999999999998</v>
      </c>
      <c r="AH61" s="178">
        <f t="shared" si="73"/>
        <v>0.5237229365663818</v>
      </c>
      <c r="AI61" s="178">
        <f t="shared" si="74"/>
        <v>0.70015037593984986</v>
      </c>
      <c r="AJ61" s="178">
        <f t="shared" si="75"/>
        <v>1.5038150932887777</v>
      </c>
      <c r="AL61" s="562">
        <f t="shared" si="76"/>
        <v>224.00000000000003</v>
      </c>
      <c r="AM61" s="471">
        <f t="shared" si="77"/>
        <v>206.14128316859737</v>
      </c>
      <c r="AO61">
        <f t="shared" si="49"/>
        <v>224.00000000000003</v>
      </c>
      <c r="AP61">
        <f t="shared" si="24"/>
        <v>206.14128316859737</v>
      </c>
      <c r="AR61" s="5">
        <f t="shared" si="50"/>
        <v>4.8510418904403885</v>
      </c>
      <c r="AS61" s="5">
        <f t="shared" si="25"/>
        <v>2.4505263157894746</v>
      </c>
      <c r="AT61" s="5">
        <f t="shared" si="51"/>
        <v>2.4005155746509139</v>
      </c>
      <c r="AU61" s="178">
        <f t="shared" si="52"/>
        <v>0.50515463917525771</v>
      </c>
      <c r="AW61" s="5">
        <f t="shared" si="78"/>
        <v>4.5743157894736868</v>
      </c>
      <c r="AX61" s="5">
        <f t="shared" si="79"/>
        <v>2.2871578947368434</v>
      </c>
      <c r="AY61" s="5">
        <f t="shared" si="28"/>
        <v>0.2358401266323705</v>
      </c>
      <c r="AZ61" s="5"/>
      <c r="BA61" s="178">
        <f t="shared" si="53"/>
        <v>0.28730479341864396</v>
      </c>
      <c r="BB61" s="178">
        <f t="shared" si="80"/>
        <v>0.56871599938191064</v>
      </c>
      <c r="BC61" s="178">
        <f t="shared" si="81"/>
        <v>0.28435799969095532</v>
      </c>
      <c r="BD61" s="178"/>
      <c r="BE61" s="545">
        <f t="shared" si="31"/>
        <v>2.8890415512465385E-2</v>
      </c>
      <c r="BF61" s="545">
        <f t="shared" si="32"/>
        <v>5.2499999999999991E-2</v>
      </c>
      <c r="BG61" s="545">
        <f t="shared" si="33"/>
        <v>2.5767660396074669E-3</v>
      </c>
      <c r="BH61" s="545">
        <f t="shared" si="34"/>
        <v>2.4244791666666661E-2</v>
      </c>
      <c r="BI61">
        <f t="shared" si="35"/>
        <v>6.96E-3</v>
      </c>
      <c r="BJ61">
        <f t="shared" si="82"/>
        <v>0.11633656376113027</v>
      </c>
      <c r="BK61" s="471">
        <f t="shared" si="54"/>
        <v>116.33656376113028</v>
      </c>
      <c r="BL61" s="178">
        <f t="shared" si="83"/>
        <v>6.720000000000001E-2</v>
      </c>
      <c r="BM61" s="178">
        <f t="shared" si="84"/>
        <v>3.3600000000000005E-2</v>
      </c>
      <c r="BN61" s="545"/>
      <c r="BP61" s="471">
        <f t="shared" si="55"/>
        <v>100.80000000000001</v>
      </c>
      <c r="BQ61" s="545">
        <f t="shared" si="39"/>
        <v>7.8416842105263201E-3</v>
      </c>
      <c r="BR61" s="545">
        <f t="shared" si="56"/>
        <v>2.9109409915766885E-2</v>
      </c>
      <c r="BS61" s="545">
        <f t="shared" si="85"/>
        <v>8.0859471988241356E-3</v>
      </c>
      <c r="BT61" s="545">
        <f t="shared" si="41"/>
        <v>1.2512980214660069E-2</v>
      </c>
      <c r="BU61" s="545">
        <f t="shared" si="86"/>
        <v>5.7758121933728646E-2</v>
      </c>
      <c r="BV61" s="655">
        <f t="shared" si="87"/>
        <v>2.2736842105263166E-2</v>
      </c>
      <c r="BW61" s="471">
        <f t="shared" si="57"/>
        <v>80.49496403899181</v>
      </c>
      <c r="BX61" s="178">
        <f t="shared" si="58"/>
        <v>0.29763152780012209</v>
      </c>
      <c r="BY61" s="5">
        <f t="shared" si="59"/>
        <v>4.0320000000000009</v>
      </c>
      <c r="BZ61" s="178">
        <f t="shared" si="60"/>
        <v>0.9312570767537468</v>
      </c>
      <c r="CA61" s="5">
        <f t="shared" si="61"/>
        <v>93.125707675374684</v>
      </c>
      <c r="CB61">
        <f t="shared" si="92"/>
        <v>56.000000000000007</v>
      </c>
      <c r="CD61" s="580">
        <f t="shared" si="88"/>
        <v>-50</v>
      </c>
      <c r="CE61">
        <f t="shared" si="89"/>
        <v>-50</v>
      </c>
    </row>
    <row r="62" spans="5:83" x14ac:dyDescent="0.2">
      <c r="E62" s="175">
        <v>57</v>
      </c>
      <c r="F62" s="222">
        <f t="shared" si="93"/>
        <v>0.22799999999999998</v>
      </c>
      <c r="G62" s="222">
        <f t="shared" si="90"/>
        <v>0.11399999999999999</v>
      </c>
      <c r="H62" s="222">
        <f t="shared" si="65"/>
        <v>2.7359999999999998</v>
      </c>
      <c r="I62" s="222">
        <f t="shared" si="94"/>
        <v>1.3679999999999999</v>
      </c>
      <c r="J62" s="558">
        <f t="shared" si="1"/>
        <v>24</v>
      </c>
      <c r="K62" s="453">
        <f t="shared" si="2"/>
        <v>24.5</v>
      </c>
      <c r="L62" s="453">
        <f t="shared" si="3"/>
        <v>48.5</v>
      </c>
      <c r="M62" s="453"/>
      <c r="N62" s="222">
        <f t="shared" si="4"/>
        <v>0.50515463917525771</v>
      </c>
      <c r="O62" s="177">
        <f t="shared" si="91"/>
        <v>5.5668041237113393</v>
      </c>
      <c r="P62" s="177">
        <f t="shared" si="66"/>
        <v>4.1751030927835044</v>
      </c>
      <c r="Q62" s="222">
        <f t="shared" si="6"/>
        <v>0.46390034364261162</v>
      </c>
      <c r="R62" s="222">
        <f t="shared" si="67"/>
        <v>0.46390034364261162</v>
      </c>
      <c r="S62" s="453">
        <f t="shared" si="68"/>
        <v>12</v>
      </c>
      <c r="T62" s="222">
        <f t="shared" si="69"/>
        <v>0.71265306122448979</v>
      </c>
      <c r="U62" s="222">
        <f t="shared" si="10"/>
        <v>2.4942857142857142</v>
      </c>
      <c r="V62" s="222">
        <f t="shared" si="11"/>
        <v>2.4433819241982504</v>
      </c>
      <c r="W62" s="202">
        <f t="shared" si="12"/>
        <v>350</v>
      </c>
      <c r="X62" s="453">
        <f t="shared" si="48"/>
        <v>202.5247694287975</v>
      </c>
      <c r="Z62" s="222">
        <f t="shared" si="13"/>
        <v>0.41237113402061859</v>
      </c>
      <c r="AA62" s="178">
        <f t="shared" si="14"/>
        <v>1.4138438880706923</v>
      </c>
      <c r="AB62" s="178">
        <f t="shared" si="70"/>
        <v>0.20405994260814117</v>
      </c>
      <c r="AC62" s="178"/>
      <c r="AD62" s="178">
        <f t="shared" si="16"/>
        <v>0.99428571428571422</v>
      </c>
      <c r="AE62" s="562">
        <f t="shared" si="71"/>
        <v>790.72532699167675</v>
      </c>
      <c r="AF62" s="545">
        <f t="shared" si="72"/>
        <v>0.10091999999999998</v>
      </c>
      <c r="AH62" s="178">
        <f t="shared" si="73"/>
        <v>0.52837834311162657</v>
      </c>
      <c r="AI62" s="178">
        <f t="shared" si="74"/>
        <v>0.71265306122448979</v>
      </c>
      <c r="AJ62" s="178">
        <f t="shared" si="75"/>
        <v>1.5130763416477702</v>
      </c>
      <c r="AL62" s="562">
        <f t="shared" si="76"/>
        <v>227.99999999999997</v>
      </c>
      <c r="AM62" s="471">
        <f t="shared" si="77"/>
        <v>202.5247694287975</v>
      </c>
      <c r="AO62">
        <f t="shared" si="49"/>
        <v>227.99999999999997</v>
      </c>
      <c r="AP62">
        <f t="shared" si="24"/>
        <v>202.5247694287975</v>
      </c>
      <c r="AR62" s="5">
        <f t="shared" si="50"/>
        <v>4.9376676384839655</v>
      </c>
      <c r="AS62" s="5">
        <f t="shared" si="25"/>
        <v>2.4942857142857142</v>
      </c>
      <c r="AT62" s="5">
        <f t="shared" si="51"/>
        <v>2.4433819241982513</v>
      </c>
      <c r="AU62" s="178">
        <f t="shared" si="52"/>
        <v>0.50515463917525771</v>
      </c>
      <c r="AW62" s="5">
        <f t="shared" si="78"/>
        <v>4.7391428571428564</v>
      </c>
      <c r="AX62" s="5">
        <f t="shared" si="79"/>
        <v>2.3695714285714282</v>
      </c>
      <c r="AY62" s="5">
        <f t="shared" si="28"/>
        <v>0.2443381924198251</v>
      </c>
      <c r="AZ62" s="5"/>
      <c r="BA62" s="178">
        <f t="shared" si="53"/>
        <v>0.2924352361582625</v>
      </c>
      <c r="BB62" s="178">
        <f t="shared" si="80"/>
        <v>0.5788716422280159</v>
      </c>
      <c r="BC62" s="178">
        <f t="shared" si="81"/>
        <v>0.28943582111400795</v>
      </c>
      <c r="BD62" s="178"/>
      <c r="BE62" s="545">
        <f t="shared" si="31"/>
        <v>2.993142857142856E-2</v>
      </c>
      <c r="BF62" s="545">
        <f t="shared" si="32"/>
        <v>5.2499999999999998E-2</v>
      </c>
      <c r="BG62" s="545">
        <f t="shared" si="33"/>
        <v>2.531559617859969E-3</v>
      </c>
      <c r="BH62" s="545">
        <f t="shared" si="34"/>
        <v>2.3819444444444445E-2</v>
      </c>
      <c r="BI62">
        <f t="shared" si="35"/>
        <v>6.96E-3</v>
      </c>
      <c r="BJ62">
        <f t="shared" si="82"/>
        <v>0.11695540521046797</v>
      </c>
      <c r="BK62" s="471">
        <f t="shared" si="54"/>
        <v>116.95540521046797</v>
      </c>
      <c r="BL62" s="178">
        <f t="shared" si="83"/>
        <v>6.8399999999999989E-2</v>
      </c>
      <c r="BM62" s="178">
        <f t="shared" si="84"/>
        <v>3.4199999999999994E-2</v>
      </c>
      <c r="BN62" s="545"/>
      <c r="BP62" s="471">
        <f t="shared" si="55"/>
        <v>102.59999999999998</v>
      </c>
      <c r="BQ62" s="545">
        <f t="shared" si="39"/>
        <v>8.1242448979591819E-3</v>
      </c>
      <c r="BR62" s="545">
        <f t="shared" si="56"/>
        <v>3.0158314035818402E-2</v>
      </c>
      <c r="BS62" s="545">
        <f t="shared" si="85"/>
        <v>8.377309454394001E-3</v>
      </c>
      <c r="BT62" s="545">
        <f t="shared" si="41"/>
        <v>1.2512980214660076E-2</v>
      </c>
      <c r="BU62" s="545">
        <f t="shared" si="86"/>
        <v>5.9394555976016845E-2</v>
      </c>
      <c r="BV62" s="655">
        <f t="shared" si="87"/>
        <v>2.3142857142857146E-2</v>
      </c>
      <c r="BW62" s="471">
        <f t="shared" si="57"/>
        <v>82.537413118873999</v>
      </c>
      <c r="BX62" s="178">
        <f t="shared" si="58"/>
        <v>0.30209281832934193</v>
      </c>
      <c r="BY62" s="5">
        <f t="shared" si="59"/>
        <v>4.1039999999999992</v>
      </c>
      <c r="BZ62" s="178">
        <f t="shared" si="60"/>
        <v>0.93143748196301346</v>
      </c>
      <c r="CA62" s="5">
        <f t="shared" si="61"/>
        <v>93.143748196301345</v>
      </c>
      <c r="CB62">
        <f t="shared" si="92"/>
        <v>56.999999999999993</v>
      </c>
      <c r="CD62" s="580">
        <f t="shared" si="88"/>
        <v>-50</v>
      </c>
      <c r="CE62">
        <f t="shared" si="89"/>
        <v>-50</v>
      </c>
    </row>
    <row r="63" spans="5:83" x14ac:dyDescent="0.2">
      <c r="E63" s="175">
        <v>58</v>
      </c>
      <c r="F63" s="222">
        <f t="shared" si="93"/>
        <v>0.23199999999999998</v>
      </c>
      <c r="G63" s="222">
        <f t="shared" si="90"/>
        <v>0.11599999999999999</v>
      </c>
      <c r="H63" s="222">
        <f t="shared" si="65"/>
        <v>2.7839999999999998</v>
      </c>
      <c r="I63" s="222">
        <f t="shared" si="94"/>
        <v>1.3919999999999999</v>
      </c>
      <c r="J63" s="558">
        <f t="shared" si="1"/>
        <v>24</v>
      </c>
      <c r="K63" s="453">
        <f t="shared" si="2"/>
        <v>24.5</v>
      </c>
      <c r="L63" s="453">
        <f t="shared" si="3"/>
        <v>48.5</v>
      </c>
      <c r="M63" s="453"/>
      <c r="N63" s="222">
        <f t="shared" si="4"/>
        <v>0.50515463917525771</v>
      </c>
      <c r="O63" s="177">
        <f t="shared" si="91"/>
        <v>5.5668041237113393</v>
      </c>
      <c r="P63" s="177">
        <f t="shared" si="66"/>
        <v>4.1751030927835044</v>
      </c>
      <c r="Q63" s="222">
        <f t="shared" si="6"/>
        <v>0.46390034364261162</v>
      </c>
      <c r="R63" s="222">
        <f t="shared" si="67"/>
        <v>0.46390034364261162</v>
      </c>
      <c r="S63" s="453">
        <f t="shared" si="68"/>
        <v>12</v>
      </c>
      <c r="T63" s="222">
        <f t="shared" si="69"/>
        <v>0.72515574650913006</v>
      </c>
      <c r="U63" s="222">
        <f t="shared" si="10"/>
        <v>2.5380451127819552</v>
      </c>
      <c r="V63" s="222">
        <f t="shared" si="11"/>
        <v>2.4862482737455887</v>
      </c>
      <c r="W63" s="202">
        <f t="shared" si="12"/>
        <v>350</v>
      </c>
      <c r="X63" s="453">
        <f t="shared" si="48"/>
        <v>199.03296305933543</v>
      </c>
      <c r="Z63" s="222">
        <f t="shared" si="13"/>
        <v>0.41237113402061859</v>
      </c>
      <c r="AA63" s="178">
        <f t="shared" si="14"/>
        <v>1.4138438880706923</v>
      </c>
      <c r="AB63" s="178">
        <f t="shared" si="70"/>
        <v>0.20405994260814117</v>
      </c>
      <c r="AC63" s="178"/>
      <c r="AD63" s="178">
        <f t="shared" si="16"/>
        <v>0.99428571428571422</v>
      </c>
      <c r="AE63" s="562">
        <f t="shared" si="71"/>
        <v>804.59770114942546</v>
      </c>
      <c r="AF63" s="545">
        <f t="shared" si="72"/>
        <v>0.10091999999999998</v>
      </c>
      <c r="AH63" s="178">
        <f t="shared" si="73"/>
        <v>0.53299308874793228</v>
      </c>
      <c r="AI63" s="178">
        <f t="shared" si="74"/>
        <v>0.72515574650913006</v>
      </c>
      <c r="AJ63" s="178">
        <f t="shared" si="75"/>
        <v>1.5223375900067631</v>
      </c>
      <c r="AL63" s="562">
        <f t="shared" si="76"/>
        <v>231.99999999999997</v>
      </c>
      <c r="AM63" s="471">
        <f t="shared" si="77"/>
        <v>199.03296305933543</v>
      </c>
      <c r="AO63">
        <f t="shared" si="49"/>
        <v>231.99999999999997</v>
      </c>
      <c r="AP63">
        <f t="shared" si="24"/>
        <v>199.03296305933543</v>
      </c>
      <c r="AR63" s="5">
        <f t="shared" si="50"/>
        <v>5.0242933865275443</v>
      </c>
      <c r="AS63" s="5">
        <f t="shared" si="25"/>
        <v>2.5380451127819552</v>
      </c>
      <c r="AT63" s="5">
        <f t="shared" si="51"/>
        <v>2.4862482737455891</v>
      </c>
      <c r="AU63" s="178">
        <f t="shared" si="52"/>
        <v>0.50515463917525771</v>
      </c>
      <c r="AW63" s="5">
        <f t="shared" si="78"/>
        <v>4.9068872180451129</v>
      </c>
      <c r="AX63" s="5">
        <f t="shared" si="79"/>
        <v>2.4534436090225564</v>
      </c>
      <c r="AY63" s="5">
        <f t="shared" si="28"/>
        <v>0.25298666645130546</v>
      </c>
      <c r="AZ63" s="5"/>
      <c r="BA63" s="178">
        <f t="shared" si="53"/>
        <v>0.29756567889788121</v>
      </c>
      <c r="BB63" s="178">
        <f t="shared" si="80"/>
        <v>0.58902728507412161</v>
      </c>
      <c r="BC63" s="178">
        <f t="shared" si="81"/>
        <v>0.2945136425370608</v>
      </c>
      <c r="BD63" s="178"/>
      <c r="BE63" s="545">
        <f t="shared" si="31"/>
        <v>3.0990866640284932E-2</v>
      </c>
      <c r="BF63" s="545">
        <f t="shared" si="32"/>
        <v>5.2499999999999998E-2</v>
      </c>
      <c r="BG63" s="545">
        <f t="shared" si="33"/>
        <v>2.4879120382416925E-3</v>
      </c>
      <c r="BH63" s="545">
        <f t="shared" si="34"/>
        <v>2.3408764367816089E-2</v>
      </c>
      <c r="BI63">
        <f t="shared" si="35"/>
        <v>6.96E-3</v>
      </c>
      <c r="BJ63">
        <f t="shared" si="82"/>
        <v>0.11761048385570538</v>
      </c>
      <c r="BK63" s="471">
        <f t="shared" si="54"/>
        <v>117.61048385570538</v>
      </c>
      <c r="BL63" s="178">
        <f t="shared" si="83"/>
        <v>6.9599999999999995E-2</v>
      </c>
      <c r="BM63" s="178">
        <f t="shared" si="84"/>
        <v>3.4799999999999998E-2</v>
      </c>
      <c r="BN63" s="545"/>
      <c r="BP63" s="471">
        <f t="shared" si="55"/>
        <v>104.39999999999999</v>
      </c>
      <c r="BQ63" s="545">
        <f t="shared" si="39"/>
        <v>8.4118066595059108E-3</v>
      </c>
      <c r="BR63" s="545">
        <f t="shared" si="56"/>
        <v>3.1225782830561148E-2</v>
      </c>
      <c r="BS63" s="545">
        <f t="shared" si="85"/>
        <v>8.6738285640447638E-3</v>
      </c>
      <c r="BT63" s="545">
        <f t="shared" si="41"/>
        <v>1.2512980214660069E-2</v>
      </c>
      <c r="BU63" s="545">
        <f t="shared" si="86"/>
        <v>6.1060391396395804E-2</v>
      </c>
      <c r="BV63" s="655">
        <f t="shared" si="87"/>
        <v>2.3548872180451135E-2</v>
      </c>
      <c r="BW63" s="471">
        <f t="shared" si="57"/>
        <v>84.609263576846942</v>
      </c>
      <c r="BX63" s="178">
        <f t="shared" si="58"/>
        <v>0.30661974743255233</v>
      </c>
      <c r="BY63" s="5">
        <f t="shared" si="59"/>
        <v>4.1760000000000002</v>
      </c>
      <c r="BZ63" s="178">
        <f t="shared" si="60"/>
        <v>0.9315980911367352</v>
      </c>
      <c r="CA63" s="5">
        <f t="shared" si="61"/>
        <v>93.159809113673518</v>
      </c>
      <c r="CB63">
        <f t="shared" si="92"/>
        <v>57.999999999999993</v>
      </c>
      <c r="CD63" s="580">
        <f t="shared" si="88"/>
        <v>-50</v>
      </c>
      <c r="CE63">
        <f t="shared" si="89"/>
        <v>-50</v>
      </c>
    </row>
    <row r="64" spans="5:83" x14ac:dyDescent="0.2">
      <c r="E64" s="175">
        <v>59</v>
      </c>
      <c r="F64" s="222">
        <f t="shared" si="93"/>
        <v>0.23599999999999999</v>
      </c>
      <c r="G64" s="222">
        <f t="shared" si="90"/>
        <v>0.11799999999999999</v>
      </c>
      <c r="H64" s="222">
        <f t="shared" si="65"/>
        <v>2.8319999999999999</v>
      </c>
      <c r="I64" s="222">
        <f t="shared" si="94"/>
        <v>1.4159999999999999</v>
      </c>
      <c r="J64" s="558">
        <f t="shared" si="1"/>
        <v>24</v>
      </c>
      <c r="K64" s="453">
        <f t="shared" si="2"/>
        <v>24.5</v>
      </c>
      <c r="L64" s="453">
        <f t="shared" si="3"/>
        <v>48.5</v>
      </c>
      <c r="M64" s="453"/>
      <c r="N64" s="222">
        <f t="shared" si="4"/>
        <v>0.50515463917525771</v>
      </c>
      <c r="O64" s="177">
        <f t="shared" si="91"/>
        <v>5.5668041237113393</v>
      </c>
      <c r="P64" s="177">
        <f t="shared" si="66"/>
        <v>4.1751030927835044</v>
      </c>
      <c r="Q64" s="222">
        <f t="shared" si="6"/>
        <v>0.46390034364261162</v>
      </c>
      <c r="R64" s="222">
        <f t="shared" si="67"/>
        <v>0.46390034364261162</v>
      </c>
      <c r="S64" s="453">
        <f t="shared" si="68"/>
        <v>12</v>
      </c>
      <c r="T64" s="222">
        <f t="shared" si="69"/>
        <v>0.73765843179377011</v>
      </c>
      <c r="U64" s="222">
        <f t="shared" si="10"/>
        <v>2.5818045112781953</v>
      </c>
      <c r="V64" s="222">
        <f t="shared" si="11"/>
        <v>2.529114623292926</v>
      </c>
      <c r="W64" s="202">
        <f t="shared" si="12"/>
        <v>350</v>
      </c>
      <c r="X64" s="453">
        <f t="shared" si="48"/>
        <v>195.65952300748233</v>
      </c>
      <c r="Z64" s="222">
        <f t="shared" si="13"/>
        <v>0.41237113402061859</v>
      </c>
      <c r="AA64" s="178">
        <f t="shared" si="14"/>
        <v>1.4138438880706923</v>
      </c>
      <c r="AB64" s="178">
        <f t="shared" si="70"/>
        <v>0.20405994260814117</v>
      </c>
      <c r="AC64" s="178"/>
      <c r="AD64" s="178">
        <f t="shared" si="16"/>
        <v>0.99428571428571422</v>
      </c>
      <c r="AE64" s="562">
        <f t="shared" si="71"/>
        <v>818.47007530717417</v>
      </c>
      <c r="AF64" s="545">
        <f t="shared" si="72"/>
        <v>0.10091999999999998</v>
      </c>
      <c r="AH64" s="178">
        <f t="shared" si="73"/>
        <v>0.53756822063505083</v>
      </c>
      <c r="AI64" s="178">
        <f t="shared" si="74"/>
        <v>0.73765843179377011</v>
      </c>
      <c r="AJ64" s="178">
        <f t="shared" si="75"/>
        <v>1.5315988383657557</v>
      </c>
      <c r="AL64" s="562">
        <f t="shared" si="76"/>
        <v>236</v>
      </c>
      <c r="AM64" s="471">
        <f t="shared" si="77"/>
        <v>195.65952300748233</v>
      </c>
      <c r="AO64">
        <f t="shared" si="49"/>
        <v>236</v>
      </c>
      <c r="AP64">
        <f t="shared" si="24"/>
        <v>195.65952300748233</v>
      </c>
      <c r="AR64" s="5">
        <f t="shared" si="50"/>
        <v>5.1109191345711213</v>
      </c>
      <c r="AS64" s="5">
        <f t="shared" si="25"/>
        <v>2.5818045112781953</v>
      </c>
      <c r="AT64" s="5">
        <f t="shared" si="51"/>
        <v>2.529114623292926</v>
      </c>
      <c r="AU64" s="178">
        <f t="shared" si="52"/>
        <v>0.50515463917525771</v>
      </c>
      <c r="AW64" s="5">
        <f t="shared" si="78"/>
        <v>5.0775488721804507</v>
      </c>
      <c r="AX64" s="5">
        <f t="shared" si="79"/>
        <v>2.5387744360902254</v>
      </c>
      <c r="AY64" s="5">
        <f t="shared" si="28"/>
        <v>0.26178554872681159</v>
      </c>
      <c r="AZ64" s="5"/>
      <c r="BA64" s="178">
        <f t="shared" si="53"/>
        <v>0.30269612163749976</v>
      </c>
      <c r="BB64" s="178">
        <f t="shared" si="80"/>
        <v>0.59918292792022698</v>
      </c>
      <c r="BC64" s="178">
        <f t="shared" si="81"/>
        <v>0.29959146396011349</v>
      </c>
      <c r="BD64" s="178"/>
      <c r="BE64" s="545">
        <f t="shared" si="31"/>
        <v>3.2068729719034419E-2</v>
      </c>
      <c r="BF64" s="545">
        <f t="shared" si="32"/>
        <v>5.2500000000000005E-2</v>
      </c>
      <c r="BG64" s="545">
        <f t="shared" si="33"/>
        <v>2.4457440375935291E-3</v>
      </c>
      <c r="BH64" s="545">
        <f t="shared" si="34"/>
        <v>2.3012005649717518E-2</v>
      </c>
      <c r="BI64">
        <f t="shared" si="35"/>
        <v>6.96E-3</v>
      </c>
      <c r="BJ64">
        <f t="shared" si="82"/>
        <v>0.11830101841930873</v>
      </c>
      <c r="BK64" s="471">
        <f t="shared" si="54"/>
        <v>118.30101841930873</v>
      </c>
      <c r="BL64" s="178">
        <f t="shared" si="83"/>
        <v>7.0799999999999988E-2</v>
      </c>
      <c r="BM64" s="178">
        <f t="shared" si="84"/>
        <v>3.5399999999999994E-2</v>
      </c>
      <c r="BN64" s="545"/>
      <c r="BP64" s="471">
        <f t="shared" si="55"/>
        <v>106.19999999999999</v>
      </c>
      <c r="BQ64" s="545">
        <f t="shared" si="39"/>
        <v>8.7043694951664859E-3</v>
      </c>
      <c r="BR64" s="545">
        <f t="shared" si="56"/>
        <v>3.2311816299995036E-2</v>
      </c>
      <c r="BS64" s="545">
        <f t="shared" si="85"/>
        <v>8.9755045277763994E-3</v>
      </c>
      <c r="BT64" s="545">
        <f t="shared" si="41"/>
        <v>1.2512980214660069E-2</v>
      </c>
      <c r="BU64" s="545">
        <f t="shared" si="86"/>
        <v>6.2755651424962075E-2</v>
      </c>
      <c r="BV64" s="655">
        <f t="shared" si="87"/>
        <v>2.3954887218045121E-2</v>
      </c>
      <c r="BW64" s="471">
        <f t="shared" si="57"/>
        <v>86.710538643007197</v>
      </c>
      <c r="BX64" s="178">
        <f t="shared" si="58"/>
        <v>0.3112115570623159</v>
      </c>
      <c r="BY64" s="5">
        <f t="shared" si="59"/>
        <v>4.2479999999999993</v>
      </c>
      <c r="BZ64" s="178">
        <f t="shared" si="60"/>
        <v>0.93174004909242647</v>
      </c>
      <c r="CA64" s="5">
        <f t="shared" si="61"/>
        <v>93.17400490924264</v>
      </c>
      <c r="CB64">
        <f t="shared" si="92"/>
        <v>59</v>
      </c>
      <c r="CD64" s="580">
        <f t="shared" si="88"/>
        <v>-50</v>
      </c>
      <c r="CE64">
        <f t="shared" si="89"/>
        <v>-50</v>
      </c>
    </row>
    <row r="65" spans="5:83" x14ac:dyDescent="0.2">
      <c r="E65" s="175">
        <v>60</v>
      </c>
      <c r="F65" s="222">
        <f t="shared" si="93"/>
        <v>0.24</v>
      </c>
      <c r="G65" s="222">
        <f t="shared" si="90"/>
        <v>0.12</v>
      </c>
      <c r="H65" s="222">
        <f t="shared" si="65"/>
        <v>2.88</v>
      </c>
      <c r="I65" s="222">
        <f t="shared" si="94"/>
        <v>1.44</v>
      </c>
      <c r="J65" s="558">
        <f t="shared" si="1"/>
        <v>24</v>
      </c>
      <c r="K65" s="453">
        <f t="shared" si="2"/>
        <v>24.5</v>
      </c>
      <c r="L65" s="453">
        <f t="shared" si="3"/>
        <v>48.5</v>
      </c>
      <c r="M65" s="453"/>
      <c r="N65" s="222">
        <f t="shared" si="4"/>
        <v>0.50515463917525771</v>
      </c>
      <c r="O65" s="177">
        <f t="shared" si="91"/>
        <v>5.5668041237113393</v>
      </c>
      <c r="P65" s="177">
        <f t="shared" si="66"/>
        <v>4.1751030927835044</v>
      </c>
      <c r="Q65" s="222">
        <f t="shared" si="6"/>
        <v>0.46390034364261162</v>
      </c>
      <c r="R65" s="222">
        <f t="shared" si="67"/>
        <v>0.46390034364261162</v>
      </c>
      <c r="S65" s="453">
        <f t="shared" si="68"/>
        <v>12</v>
      </c>
      <c r="T65" s="222">
        <f t="shared" si="69"/>
        <v>0.75016111707841049</v>
      </c>
      <c r="U65" s="222">
        <f t="shared" si="10"/>
        <v>2.6255639097744368</v>
      </c>
      <c r="V65" s="222">
        <f t="shared" si="11"/>
        <v>2.5719809728402643</v>
      </c>
      <c r="W65" s="202">
        <f t="shared" si="12"/>
        <v>350</v>
      </c>
      <c r="X65" s="453">
        <f t="shared" si="48"/>
        <v>192.39853095735756</v>
      </c>
      <c r="Z65" s="222">
        <f t="shared" si="13"/>
        <v>0.41237113402061859</v>
      </c>
      <c r="AA65" s="178">
        <f t="shared" si="14"/>
        <v>1.4138438880706923</v>
      </c>
      <c r="AB65" s="178">
        <f t="shared" si="70"/>
        <v>0.20405994260814117</v>
      </c>
      <c r="AC65" s="178"/>
      <c r="AD65" s="178">
        <f t="shared" si="16"/>
        <v>0.99428571428571422</v>
      </c>
      <c r="AE65" s="562">
        <f t="shared" si="71"/>
        <v>832.34244946492288</v>
      </c>
      <c r="AF65" s="545">
        <f t="shared" si="72"/>
        <v>0.10091999999999998</v>
      </c>
      <c r="AH65" s="178">
        <f t="shared" si="73"/>
        <v>0.54210474174315082</v>
      </c>
      <c r="AI65" s="178">
        <f t="shared" si="74"/>
        <v>0.75016111707841049</v>
      </c>
      <c r="AJ65" s="178">
        <f t="shared" si="75"/>
        <v>1.5408600867247486</v>
      </c>
      <c r="AL65" s="562">
        <f t="shared" si="76"/>
        <v>240</v>
      </c>
      <c r="AM65" s="471">
        <f t="shared" si="77"/>
        <v>192.39853095735756</v>
      </c>
      <c r="AO65">
        <f t="shared" si="49"/>
        <v>240</v>
      </c>
      <c r="AP65">
        <f t="shared" si="24"/>
        <v>192.39853095735756</v>
      </c>
      <c r="AR65" s="5">
        <f t="shared" si="50"/>
        <v>5.197544882614701</v>
      </c>
      <c r="AS65" s="5">
        <f t="shared" si="25"/>
        <v>2.6255639097744368</v>
      </c>
      <c r="AT65" s="5">
        <f t="shared" si="51"/>
        <v>2.5719809728402643</v>
      </c>
      <c r="AU65" s="178">
        <f t="shared" si="52"/>
        <v>0.50515463917525771</v>
      </c>
      <c r="AW65" s="5">
        <f t="shared" si="78"/>
        <v>5.2511278195488726</v>
      </c>
      <c r="AX65" s="5">
        <f t="shared" si="79"/>
        <v>2.6255639097744363</v>
      </c>
      <c r="AY65" s="5">
        <f t="shared" si="28"/>
        <v>0.27073483924634356</v>
      </c>
      <c r="AZ65" s="5"/>
      <c r="BA65" s="178">
        <f t="shared" si="53"/>
        <v>0.30782656437711853</v>
      </c>
      <c r="BB65" s="178">
        <f t="shared" si="80"/>
        <v>0.60933857076633269</v>
      </c>
      <c r="BC65" s="178">
        <f t="shared" si="81"/>
        <v>0.30466928538316634</v>
      </c>
      <c r="BD65" s="178"/>
      <c r="BE65" s="545">
        <f t="shared" si="31"/>
        <v>3.3165017807677104E-2</v>
      </c>
      <c r="BF65" s="545">
        <f t="shared" si="32"/>
        <v>5.2499999999999998E-2</v>
      </c>
      <c r="BG65" s="545">
        <f t="shared" si="33"/>
        <v>2.4049816369669697E-3</v>
      </c>
      <c r="BH65" s="545">
        <f t="shared" si="34"/>
        <v>2.262847222222222E-2</v>
      </c>
      <c r="BI65">
        <f t="shared" si="35"/>
        <v>6.96E-3</v>
      </c>
      <c r="BJ65">
        <f t="shared" si="82"/>
        <v>0.11902628346982877</v>
      </c>
      <c r="BK65" s="471">
        <f t="shared" si="54"/>
        <v>119.02628346982877</v>
      </c>
      <c r="BL65" s="178">
        <f t="shared" si="83"/>
        <v>7.1999999999999995E-2</v>
      </c>
      <c r="BM65" s="178">
        <f t="shared" si="84"/>
        <v>3.5999999999999997E-2</v>
      </c>
      <c r="BN65" s="545"/>
      <c r="BP65" s="471">
        <f t="shared" si="55"/>
        <v>107.99999999999999</v>
      </c>
      <c r="BQ65" s="545">
        <f t="shared" si="39"/>
        <v>9.0019334049409282E-3</v>
      </c>
      <c r="BR65" s="545">
        <f t="shared" si="56"/>
        <v>3.3416414444120135E-2</v>
      </c>
      <c r="BS65" s="545">
        <f t="shared" si="85"/>
        <v>9.2823373455889254E-3</v>
      </c>
      <c r="BT65" s="545">
        <f t="shared" si="41"/>
        <v>1.251298021466006E-2</v>
      </c>
      <c r="BU65" s="545">
        <f t="shared" si="86"/>
        <v>6.4480359711605054E-2</v>
      </c>
      <c r="BV65" s="655">
        <f t="shared" si="87"/>
        <v>2.43609022556391E-2</v>
      </c>
      <c r="BW65" s="471">
        <f t="shared" si="57"/>
        <v>88.841261967244151</v>
      </c>
      <c r="BX65" s="178">
        <f t="shared" si="58"/>
        <v>0.31586754543707291</v>
      </c>
      <c r="BY65" s="5">
        <f t="shared" si="59"/>
        <v>4.32</v>
      </c>
      <c r="BZ65" s="178">
        <f t="shared" si="60"/>
        <v>0.93186441537831022</v>
      </c>
      <c r="CA65" s="5">
        <f t="shared" si="61"/>
        <v>93.186441537831016</v>
      </c>
      <c r="CB65">
        <f t="shared" si="92"/>
        <v>60</v>
      </c>
      <c r="CD65" s="580">
        <f t="shared" si="88"/>
        <v>-50</v>
      </c>
      <c r="CE65">
        <f t="shared" si="89"/>
        <v>-50</v>
      </c>
    </row>
    <row r="66" spans="5:83" x14ac:dyDescent="0.2">
      <c r="E66" s="175">
        <v>61</v>
      </c>
      <c r="F66" s="222">
        <f t="shared" si="93"/>
        <v>0.24399999999999999</v>
      </c>
      <c r="G66" s="222">
        <f t="shared" si="90"/>
        <v>0.122</v>
      </c>
      <c r="H66" s="222">
        <f t="shared" si="65"/>
        <v>2.9279999999999999</v>
      </c>
      <c r="I66" s="222">
        <f t="shared" si="94"/>
        <v>1.464</v>
      </c>
      <c r="J66" s="558">
        <f t="shared" si="1"/>
        <v>24</v>
      </c>
      <c r="K66" s="453">
        <f t="shared" si="2"/>
        <v>24.5</v>
      </c>
      <c r="L66" s="453">
        <f t="shared" si="3"/>
        <v>48.5</v>
      </c>
      <c r="M66" s="453"/>
      <c r="N66" s="222">
        <f t="shared" si="4"/>
        <v>0.50515463917525771</v>
      </c>
      <c r="O66" s="177">
        <f t="shared" si="91"/>
        <v>5.5668041237113393</v>
      </c>
      <c r="P66" s="177">
        <f t="shared" si="66"/>
        <v>4.1751030927835044</v>
      </c>
      <c r="Q66" s="222">
        <f t="shared" si="6"/>
        <v>0.46390034364261162</v>
      </c>
      <c r="R66" s="222">
        <f t="shared" si="67"/>
        <v>0.46390034364261162</v>
      </c>
      <c r="S66" s="453">
        <f t="shared" si="68"/>
        <v>12</v>
      </c>
      <c r="T66" s="222">
        <f t="shared" si="69"/>
        <v>0.76266380236305054</v>
      </c>
      <c r="U66" s="222">
        <f t="shared" si="10"/>
        <v>2.6693233082706769</v>
      </c>
      <c r="V66" s="222">
        <f t="shared" si="11"/>
        <v>2.6148473223876021</v>
      </c>
      <c r="W66" s="202">
        <f t="shared" si="12"/>
        <v>350</v>
      </c>
      <c r="X66" s="453">
        <f t="shared" si="48"/>
        <v>189.24445667936811</v>
      </c>
      <c r="Z66" s="222">
        <f t="shared" si="13"/>
        <v>0.41237113402061859</v>
      </c>
      <c r="AA66" s="178">
        <f t="shared" si="14"/>
        <v>1.4138438880706923</v>
      </c>
      <c r="AB66" s="178">
        <f t="shared" si="70"/>
        <v>0.20405994260814117</v>
      </c>
      <c r="AC66" s="178"/>
      <c r="AD66" s="178">
        <f t="shared" si="16"/>
        <v>0.99428571428571422</v>
      </c>
      <c r="AE66" s="562">
        <f t="shared" si="71"/>
        <v>846.2148236226717</v>
      </c>
      <c r="AF66" s="545">
        <f t="shared" si="72"/>
        <v>0.10091999999999998</v>
      </c>
      <c r="AH66" s="178">
        <f t="shared" si="73"/>
        <v>0.54660361342025687</v>
      </c>
      <c r="AI66" s="178">
        <f t="shared" si="74"/>
        <v>0.76266380236305054</v>
      </c>
      <c r="AJ66" s="178">
        <f t="shared" si="75"/>
        <v>1.5501213350837411</v>
      </c>
      <c r="AL66" s="562">
        <f t="shared" si="76"/>
        <v>244</v>
      </c>
      <c r="AM66" s="471">
        <f t="shared" si="77"/>
        <v>189.24445667936811</v>
      </c>
      <c r="AO66">
        <f t="shared" si="49"/>
        <v>244</v>
      </c>
      <c r="AP66">
        <f t="shared" si="24"/>
        <v>189.24445667936811</v>
      </c>
      <c r="AR66" s="5">
        <f t="shared" si="50"/>
        <v>5.2841706306582799</v>
      </c>
      <c r="AS66" s="5">
        <f t="shared" si="25"/>
        <v>2.6693233082706769</v>
      </c>
      <c r="AT66" s="5">
        <f t="shared" si="51"/>
        <v>2.614847322387603</v>
      </c>
      <c r="AU66" s="178">
        <f t="shared" si="52"/>
        <v>0.5051546391752576</v>
      </c>
      <c r="AW66" s="5">
        <f t="shared" si="78"/>
        <v>5.427624060150376</v>
      </c>
      <c r="AX66" s="5">
        <f t="shared" si="79"/>
        <v>2.713812030075188</v>
      </c>
      <c r="AY66" s="5">
        <f t="shared" si="28"/>
        <v>0.27983453800990138</v>
      </c>
      <c r="AZ66" s="5"/>
      <c r="BA66" s="178">
        <f t="shared" si="53"/>
        <v>0.31295700711673707</v>
      </c>
      <c r="BB66" s="178">
        <f t="shared" si="80"/>
        <v>0.61949421361243828</v>
      </c>
      <c r="BC66" s="178">
        <f t="shared" si="81"/>
        <v>0.30974710680621914</v>
      </c>
      <c r="BD66" s="178"/>
      <c r="BE66" s="545">
        <f t="shared" si="31"/>
        <v>3.4279730906212891E-2</v>
      </c>
      <c r="BF66" s="545">
        <f t="shared" si="32"/>
        <v>5.2499999999999991E-2</v>
      </c>
      <c r="BG66" s="545">
        <f t="shared" si="33"/>
        <v>2.3655557084921014E-3</v>
      </c>
      <c r="BH66" s="545">
        <f t="shared" si="34"/>
        <v>2.2257513661202183E-2</v>
      </c>
      <c r="BI66">
        <f t="shared" si="35"/>
        <v>6.96E-3</v>
      </c>
      <c r="BJ66">
        <f t="shared" si="82"/>
        <v>0.11978560491790488</v>
      </c>
      <c r="BK66" s="471">
        <f t="shared" si="54"/>
        <v>119.78560491790488</v>
      </c>
      <c r="BL66" s="178">
        <f t="shared" si="83"/>
        <v>7.3200000000000001E-2</v>
      </c>
      <c r="BM66" s="178">
        <f t="shared" si="84"/>
        <v>3.6600000000000001E-2</v>
      </c>
      <c r="BN66" s="545"/>
      <c r="BP66" s="471">
        <f t="shared" si="55"/>
        <v>109.80000000000001</v>
      </c>
      <c r="BQ66" s="545">
        <f t="shared" si="39"/>
        <v>9.3044983888292149E-3</v>
      </c>
      <c r="BR66" s="545">
        <f t="shared" si="56"/>
        <v>3.4539577262936397E-2</v>
      </c>
      <c r="BS66" s="545">
        <f t="shared" si="85"/>
        <v>9.5943270174823347E-3</v>
      </c>
      <c r="BT66" s="545">
        <f t="shared" si="41"/>
        <v>1.2512980214660076E-2</v>
      </c>
      <c r="BU66" s="545">
        <f t="shared" si="86"/>
        <v>6.6234540326835858E-2</v>
      </c>
      <c r="BV66" s="655">
        <f t="shared" si="87"/>
        <v>2.4766917293233083E-2</v>
      </c>
      <c r="BW66" s="471">
        <f t="shared" si="57"/>
        <v>91.001457620068948</v>
      </c>
      <c r="BX66" s="178">
        <f t="shared" si="58"/>
        <v>0.32058706253797387</v>
      </c>
      <c r="BY66" s="5">
        <f t="shared" si="59"/>
        <v>4.3919999999999995</v>
      </c>
      <c r="BZ66" s="178">
        <f t="shared" si="60"/>
        <v>0.93197217191244397</v>
      </c>
      <c r="CA66" s="5">
        <f t="shared" si="61"/>
        <v>93.197217191244391</v>
      </c>
      <c r="CB66">
        <f t="shared" si="92"/>
        <v>61</v>
      </c>
      <c r="CD66" s="580">
        <f t="shared" si="88"/>
        <v>-50</v>
      </c>
      <c r="CE66">
        <f t="shared" si="89"/>
        <v>-50</v>
      </c>
    </row>
    <row r="67" spans="5:83" x14ac:dyDescent="0.2">
      <c r="E67" s="175">
        <v>62</v>
      </c>
      <c r="F67" s="222">
        <f t="shared" si="93"/>
        <v>0.248</v>
      </c>
      <c r="G67" s="222">
        <f t="shared" si="90"/>
        <v>0.124</v>
      </c>
      <c r="H67" s="222">
        <f t="shared" si="65"/>
        <v>2.976</v>
      </c>
      <c r="I67" s="222">
        <f t="shared" si="94"/>
        <v>1.488</v>
      </c>
      <c r="J67" s="558">
        <f t="shared" si="1"/>
        <v>24</v>
      </c>
      <c r="K67" s="453">
        <f t="shared" si="2"/>
        <v>24.5</v>
      </c>
      <c r="L67" s="453">
        <f t="shared" si="3"/>
        <v>48.5</v>
      </c>
      <c r="M67" s="453"/>
      <c r="N67" s="222">
        <f t="shared" si="4"/>
        <v>0.50515463917525771</v>
      </c>
      <c r="O67" s="177">
        <f t="shared" si="91"/>
        <v>5.5668041237113393</v>
      </c>
      <c r="P67" s="177">
        <f t="shared" si="66"/>
        <v>4.1751030927835044</v>
      </c>
      <c r="Q67" s="222">
        <f t="shared" si="6"/>
        <v>0.46390034364261162</v>
      </c>
      <c r="R67" s="222">
        <f t="shared" si="67"/>
        <v>0.46390034364261162</v>
      </c>
      <c r="S67" s="453">
        <f t="shared" si="68"/>
        <v>12</v>
      </c>
      <c r="T67" s="222">
        <f t="shared" si="69"/>
        <v>0.77516648764769081</v>
      </c>
      <c r="U67" s="222">
        <f t="shared" si="10"/>
        <v>2.7130827067669179</v>
      </c>
      <c r="V67" s="222">
        <f t="shared" si="11"/>
        <v>2.6577136719349399</v>
      </c>
      <c r="W67" s="202">
        <f t="shared" si="12"/>
        <v>350</v>
      </c>
      <c r="X67" s="453">
        <f t="shared" si="48"/>
        <v>186.19212673292668</v>
      </c>
      <c r="Z67" s="222">
        <f t="shared" si="13"/>
        <v>0.41237113402061859</v>
      </c>
      <c r="AA67" s="178">
        <f t="shared" si="14"/>
        <v>1.4138438880706923</v>
      </c>
      <c r="AB67" s="178">
        <f t="shared" si="70"/>
        <v>0.20405994260814117</v>
      </c>
      <c r="AC67" s="178"/>
      <c r="AD67" s="178">
        <f t="shared" si="16"/>
        <v>0.99428571428571422</v>
      </c>
      <c r="AE67" s="562">
        <f t="shared" si="71"/>
        <v>860.0871977804203</v>
      </c>
      <c r="AF67" s="545">
        <f t="shared" si="72"/>
        <v>0.10091999999999998</v>
      </c>
      <c r="AH67" s="178">
        <f t="shared" si="73"/>
        <v>0.55106575777102607</v>
      </c>
      <c r="AI67" s="178">
        <f t="shared" si="74"/>
        <v>0.77516648764769081</v>
      </c>
      <c r="AJ67" s="178">
        <f t="shared" si="75"/>
        <v>1.5593825834427339</v>
      </c>
      <c r="AL67" s="562">
        <f t="shared" si="76"/>
        <v>248</v>
      </c>
      <c r="AM67" s="471">
        <f t="shared" si="77"/>
        <v>186.19212673292668</v>
      </c>
      <c r="AO67">
        <f t="shared" si="49"/>
        <v>248</v>
      </c>
      <c r="AP67">
        <f t="shared" si="24"/>
        <v>186.19212673292668</v>
      </c>
      <c r="AR67" s="5">
        <f t="shared" si="50"/>
        <v>5.3707963787018578</v>
      </c>
      <c r="AS67" s="5">
        <f t="shared" si="25"/>
        <v>2.7130827067669179</v>
      </c>
      <c r="AT67" s="5">
        <f t="shared" si="51"/>
        <v>2.6577136719349399</v>
      </c>
      <c r="AU67" s="178">
        <f t="shared" si="52"/>
        <v>0.50515463917525771</v>
      </c>
      <c r="AW67" s="5">
        <f t="shared" si="78"/>
        <v>5.6070375939849644</v>
      </c>
      <c r="AX67" s="5">
        <f t="shared" si="79"/>
        <v>2.8035187969924822</v>
      </c>
      <c r="AY67" s="5">
        <f t="shared" si="28"/>
        <v>0.28908464501748465</v>
      </c>
      <c r="AZ67" s="5"/>
      <c r="BA67" s="178">
        <f t="shared" si="53"/>
        <v>0.31808744985635579</v>
      </c>
      <c r="BB67" s="178">
        <f t="shared" si="80"/>
        <v>0.62964985645854377</v>
      </c>
      <c r="BC67" s="178">
        <f t="shared" si="81"/>
        <v>0.31482492822927188</v>
      </c>
      <c r="BD67" s="178"/>
      <c r="BE67" s="545">
        <f t="shared" si="31"/>
        <v>3.5412869014641878E-2</v>
      </c>
      <c r="BF67" s="545">
        <f t="shared" si="32"/>
        <v>5.2499999999999991E-2</v>
      </c>
      <c r="BG67" s="545">
        <f t="shared" si="33"/>
        <v>2.3274015841615835E-3</v>
      </c>
      <c r="BH67" s="545">
        <f t="shared" si="34"/>
        <v>2.1898521505376342E-2</v>
      </c>
      <c r="BI67">
        <f t="shared" si="35"/>
        <v>6.96E-3</v>
      </c>
      <c r="BJ67">
        <f t="shared" si="82"/>
        <v>0.12057835594866538</v>
      </c>
      <c r="BK67" s="471">
        <f t="shared" si="54"/>
        <v>120.57835594866538</v>
      </c>
      <c r="BL67" s="178">
        <f t="shared" si="83"/>
        <v>7.4399999999999994E-2</v>
      </c>
      <c r="BM67" s="178">
        <f t="shared" si="84"/>
        <v>3.7199999999999997E-2</v>
      </c>
      <c r="BN67" s="545"/>
      <c r="BP67" s="471">
        <f t="shared" si="55"/>
        <v>111.6</v>
      </c>
      <c r="BQ67" s="545">
        <f t="shared" si="39"/>
        <v>9.6120644468313688E-3</v>
      </c>
      <c r="BR67" s="545">
        <f t="shared" si="56"/>
        <v>3.5681304756443828E-2</v>
      </c>
      <c r="BS67" s="545">
        <f t="shared" si="85"/>
        <v>9.9114735434566205E-3</v>
      </c>
      <c r="BT67" s="545">
        <f t="shared" si="41"/>
        <v>1.2512980214660069E-2</v>
      </c>
      <c r="BU67" s="545">
        <f t="shared" si="86"/>
        <v>6.8018217762631825E-2</v>
      </c>
      <c r="BV67" s="655">
        <f t="shared" si="87"/>
        <v>2.5172932330827069E-2</v>
      </c>
      <c r="BW67" s="471">
        <f t="shared" si="57"/>
        <v>93.191150093458887</v>
      </c>
      <c r="BX67" s="178">
        <f t="shared" si="58"/>
        <v>0.32536950604212428</v>
      </c>
      <c r="BY67" s="5">
        <f t="shared" si="59"/>
        <v>4.4640000000000004</v>
      </c>
      <c r="BZ67" s="178">
        <f t="shared" si="60"/>
        <v>0.93206422982573223</v>
      </c>
      <c r="CA67" s="5">
        <f t="shared" si="61"/>
        <v>93.20642298257323</v>
      </c>
      <c r="CB67">
        <f t="shared" si="92"/>
        <v>62</v>
      </c>
      <c r="CD67" s="580">
        <f t="shared" si="88"/>
        <v>-50</v>
      </c>
      <c r="CE67">
        <f t="shared" si="89"/>
        <v>-50</v>
      </c>
    </row>
    <row r="68" spans="5:83" x14ac:dyDescent="0.2">
      <c r="E68" s="175">
        <v>63</v>
      </c>
      <c r="F68" s="222">
        <f t="shared" si="93"/>
        <v>0.252</v>
      </c>
      <c r="G68" s="222">
        <f t="shared" si="90"/>
        <v>0.126</v>
      </c>
      <c r="H68" s="222">
        <f t="shared" si="65"/>
        <v>3.024</v>
      </c>
      <c r="I68" s="222">
        <f t="shared" si="94"/>
        <v>1.512</v>
      </c>
      <c r="J68" s="558">
        <f t="shared" si="1"/>
        <v>24</v>
      </c>
      <c r="K68" s="453">
        <f t="shared" si="2"/>
        <v>24.5</v>
      </c>
      <c r="L68" s="453">
        <f t="shared" si="3"/>
        <v>48.5</v>
      </c>
      <c r="M68" s="453"/>
      <c r="N68" s="222">
        <f t="shared" si="4"/>
        <v>0.50515463917525771</v>
      </c>
      <c r="O68" s="177">
        <f t="shared" si="91"/>
        <v>5.5668041237113393</v>
      </c>
      <c r="P68" s="177">
        <f t="shared" si="66"/>
        <v>4.1751030927835044</v>
      </c>
      <c r="Q68" s="222">
        <f t="shared" si="6"/>
        <v>0.46390034364261162</v>
      </c>
      <c r="R68" s="222">
        <f t="shared" si="67"/>
        <v>0.46390034364261162</v>
      </c>
      <c r="S68" s="453">
        <f t="shared" si="68"/>
        <v>12</v>
      </c>
      <c r="T68" s="222">
        <f t="shared" si="69"/>
        <v>0.78766917293233085</v>
      </c>
      <c r="U68" s="222">
        <f t="shared" si="10"/>
        <v>2.756842105263158</v>
      </c>
      <c r="V68" s="222">
        <f t="shared" si="11"/>
        <v>2.7005800214822773</v>
      </c>
      <c r="W68" s="202">
        <f t="shared" si="12"/>
        <v>350</v>
      </c>
      <c r="X68" s="453">
        <f t="shared" si="48"/>
        <v>183.2366961498644</v>
      </c>
      <c r="Z68" s="222">
        <f t="shared" si="13"/>
        <v>0.41237113402061859</v>
      </c>
      <c r="AA68" s="178">
        <f t="shared" si="14"/>
        <v>1.4138438880706923</v>
      </c>
      <c r="AB68" s="178">
        <f t="shared" si="70"/>
        <v>0.20405994260814117</v>
      </c>
      <c r="AC68" s="178"/>
      <c r="AD68" s="178">
        <f t="shared" si="16"/>
        <v>0.99428571428571422</v>
      </c>
      <c r="AE68" s="562">
        <f t="shared" si="71"/>
        <v>873.95957193816923</v>
      </c>
      <c r="AF68" s="545">
        <f t="shared" si="72"/>
        <v>0.10091999999999998</v>
      </c>
      <c r="AH68" s="178">
        <f t="shared" si="73"/>
        <v>0.5554920598635309</v>
      </c>
      <c r="AI68" s="178">
        <f t="shared" si="74"/>
        <v>0.78766917293233085</v>
      </c>
      <c r="AJ68" s="178">
        <f t="shared" si="75"/>
        <v>1.5686438318017264</v>
      </c>
      <c r="AL68" s="562">
        <f t="shared" si="76"/>
        <v>252</v>
      </c>
      <c r="AM68" s="471">
        <f t="shared" si="77"/>
        <v>183.2366961498644</v>
      </c>
      <c r="AO68">
        <f t="shared" si="49"/>
        <v>252</v>
      </c>
      <c r="AP68">
        <f t="shared" si="24"/>
        <v>183.2366961498644</v>
      </c>
      <c r="AR68" s="5">
        <f t="shared" si="50"/>
        <v>5.4574221267454348</v>
      </c>
      <c r="AS68" s="5">
        <f t="shared" si="25"/>
        <v>2.756842105263158</v>
      </c>
      <c r="AT68" s="5">
        <f t="shared" si="51"/>
        <v>2.7005800214822768</v>
      </c>
      <c r="AU68" s="178">
        <f t="shared" si="52"/>
        <v>0.50515463917525771</v>
      </c>
      <c r="AW68" s="5">
        <f t="shared" si="78"/>
        <v>5.7893684210526315</v>
      </c>
      <c r="AX68" s="5">
        <f t="shared" si="79"/>
        <v>2.8946842105263157</v>
      </c>
      <c r="AY68" s="5">
        <f t="shared" si="28"/>
        <v>0.29848516026909372</v>
      </c>
      <c r="AZ68" s="5"/>
      <c r="BA68" s="178">
        <f t="shared" si="53"/>
        <v>0.32321789259597439</v>
      </c>
      <c r="BB68" s="178">
        <f t="shared" si="80"/>
        <v>0.63980549930464925</v>
      </c>
      <c r="BC68" s="178">
        <f t="shared" si="81"/>
        <v>0.31990274965232463</v>
      </c>
      <c r="BD68" s="178"/>
      <c r="BE68" s="545">
        <f t="shared" si="31"/>
        <v>3.6564432132963995E-2</v>
      </c>
      <c r="BF68" s="545">
        <f t="shared" si="32"/>
        <v>5.2499999999999998E-2</v>
      </c>
      <c r="BG68" s="545">
        <f t="shared" si="33"/>
        <v>2.2904587018733047E-3</v>
      </c>
      <c r="BH68" s="545">
        <f t="shared" si="34"/>
        <v>2.1550925925925928E-2</v>
      </c>
      <c r="BI68">
        <f t="shared" si="35"/>
        <v>6.96E-3</v>
      </c>
      <c r="BJ68">
        <f t="shared" si="82"/>
        <v>0.12140395334204601</v>
      </c>
      <c r="BK68" s="471">
        <f t="shared" si="54"/>
        <v>121.40395334204601</v>
      </c>
      <c r="BL68" s="178">
        <f t="shared" si="83"/>
        <v>7.5600000000000001E-2</v>
      </c>
      <c r="BM68" s="178">
        <f t="shared" si="84"/>
        <v>3.78E-2</v>
      </c>
      <c r="BN68" s="545"/>
      <c r="BP68" s="471">
        <f t="shared" si="55"/>
        <v>113.4</v>
      </c>
      <c r="BQ68" s="545">
        <f t="shared" si="39"/>
        <v>9.9246315789473707E-3</v>
      </c>
      <c r="BR68" s="545">
        <f t="shared" si="56"/>
        <v>3.6841596924642436E-2</v>
      </c>
      <c r="BS68" s="545">
        <f t="shared" si="85"/>
        <v>1.0233776923511788E-2</v>
      </c>
      <c r="BT68" s="545">
        <f t="shared" si="41"/>
        <v>1.2512980214660071E-2</v>
      </c>
      <c r="BU68" s="545">
        <f t="shared" si="86"/>
        <v>6.9831416933296073E-2</v>
      </c>
      <c r="BV68" s="655">
        <f t="shared" si="87"/>
        <v>2.5578947368421059E-2</v>
      </c>
      <c r="BW68" s="471">
        <f t="shared" si="57"/>
        <v>95.410364301717138</v>
      </c>
      <c r="BX68" s="178">
        <f t="shared" si="58"/>
        <v>0.33021431764376313</v>
      </c>
      <c r="BY68" s="5">
        <f t="shared" si="59"/>
        <v>4.5359999999999996</v>
      </c>
      <c r="BZ68" s="178">
        <f t="shared" si="60"/>
        <v>0.93214143560293206</v>
      </c>
      <c r="CA68" s="5">
        <f t="shared" si="61"/>
        <v>93.214143560293209</v>
      </c>
      <c r="CB68">
        <f t="shared" si="92"/>
        <v>63</v>
      </c>
      <c r="CD68" s="580">
        <f t="shared" si="88"/>
        <v>-50</v>
      </c>
      <c r="CE68">
        <f t="shared" si="89"/>
        <v>-50</v>
      </c>
    </row>
    <row r="69" spans="5:83" x14ac:dyDescent="0.2">
      <c r="E69" s="175">
        <v>64</v>
      </c>
      <c r="F69" s="222">
        <f t="shared" si="93"/>
        <v>0.25600000000000001</v>
      </c>
      <c r="G69" s="222">
        <f t="shared" si="90"/>
        <v>0.128</v>
      </c>
      <c r="H69" s="222">
        <f t="shared" ref="H69:H105" si="95">F69*Vout</f>
        <v>3.0720000000000001</v>
      </c>
      <c r="I69" s="222">
        <f t="shared" si="94"/>
        <v>1.536</v>
      </c>
      <c r="J69" s="558">
        <f t="shared" ref="J69:J105" si="96">Vin</f>
        <v>24</v>
      </c>
      <c r="K69" s="453">
        <f t="shared" ref="K69:K105" si="97">(S69+Vfwd1)*Nps</f>
        <v>24.5</v>
      </c>
      <c r="L69" s="453">
        <f t="shared" ref="L69:L105" si="98">(Vout+Vfwd1)*Nps+J69</f>
        <v>48.5</v>
      </c>
      <c r="M69" s="453"/>
      <c r="N69" s="222">
        <f t="shared" ref="N69:N105" si="99">(Vout+Vfwd1)*Nps/((Vout+Vfwd1)*Nps+J69)</f>
        <v>0.50515463917525771</v>
      </c>
      <c r="O69" s="177">
        <f t="shared" si="91"/>
        <v>5.5668041237113393</v>
      </c>
      <c r="P69" s="177">
        <f t="shared" ref="P69:P105" si="100">N69*J69*Isw_max*0.5*Efficiency*(Pout2/Pout_total)</f>
        <v>4.1751030927835044</v>
      </c>
      <c r="Q69" s="222">
        <f t="shared" ref="Q69:Q105" si="101">O69/Vout</f>
        <v>0.46390034364261162</v>
      </c>
      <c r="R69" s="222">
        <f t="shared" ref="R69:R105" si="102">O69/Vout2</f>
        <v>0.46390034364261162</v>
      </c>
      <c r="S69" s="453">
        <f t="shared" ref="S69:S105" si="103">MIN(Vout,O69/F69)</f>
        <v>12</v>
      </c>
      <c r="T69" s="222">
        <f t="shared" ref="T69:T105" si="104">MIN(2*(Vout*F69+Vout2*G69)/(Efficiency*J69*N69), Isw_max)</f>
        <v>0.80017185821697123</v>
      </c>
      <c r="U69" s="222">
        <f t="shared" ref="U69:U105" si="105">L*T69/J69*1000000</f>
        <v>2.800601503759399</v>
      </c>
      <c r="V69" s="222">
        <f t="shared" ref="V69:V105" si="106">L*T69/K69*1000000</f>
        <v>2.7434463710296151</v>
      </c>
      <c r="W69" s="202">
        <f t="shared" ref="W69:W105" si="107">IF(1/((350000*L)*(1/J69+1/K69))&gt;Isw_min, 350, 0.001/((Isw_min*L)*(1/J69+1/K69)))</f>
        <v>350</v>
      </c>
      <c r="X69" s="453">
        <f t="shared" si="48"/>
        <v>180.37362277252276</v>
      </c>
      <c r="Z69" s="222">
        <f t="shared" ref="Z69:Z105" si="108">1/((W69*1000*L)*(1/J69+1/K69))</f>
        <v>0.41237113402061859</v>
      </c>
      <c r="AA69" s="178">
        <f t="shared" ref="AA69:AA105" si="109">L*Z69/K69*1000000</f>
        <v>1.4138438880706923</v>
      </c>
      <c r="AB69" s="178">
        <f t="shared" ref="AB69:AB100" si="110">0.5*AA69*Z69*Nps*W69/1000*(Pout/Pout_total)</f>
        <v>0.20405994260814117</v>
      </c>
      <c r="AC69" s="178"/>
      <c r="AD69" s="178">
        <f t="shared" ref="AD69:AD105" si="111">L*Isw_min/K69*1000000</f>
        <v>0.99428571428571422</v>
      </c>
      <c r="AE69" s="562">
        <f t="shared" ref="AE69:AE100" si="112">MAX(10, F69/(0.5*AD69/1000000*Isw_min*Nps)/1000*Pout_total/Pout)</f>
        <v>887.83194609591783</v>
      </c>
      <c r="AF69" s="545">
        <f t="shared" ref="AF69:AF105" si="113">0.5*AD69/1000000*Isw_min*Nps*W69*1000*(Pout/Pout_total)</f>
        <v>0.10091999999999998</v>
      </c>
      <c r="AH69" s="178">
        <f t="shared" ref="AH69:AH105" si="114">SQRT((H69+I69)/(0.5*L*Fsw_DCM))</f>
        <v>0.55988336977901221</v>
      </c>
      <c r="AI69" s="178">
        <f t="shared" ref="AI69:AI100" si="115">MAX(IF(F69&gt;AB69,T69,AH69),Isw_min)</f>
        <v>0.80017185821697123</v>
      </c>
      <c r="AJ69" s="178">
        <f t="shared" ref="AJ69:AJ100" si="116">IF(F69&gt;AF69, (AI69-Isw_min)/1.08*0.8+1.2, AE69*0.2/350+1)</f>
        <v>1.5779050801607193</v>
      </c>
      <c r="AL69" s="562">
        <f t="shared" ref="AL69:AL105" si="117">F69*1000</f>
        <v>256</v>
      </c>
      <c r="AM69" s="471">
        <f t="shared" ref="AM69:AM105" si="118">IF(F69&gt;AF69, X69, AE69)</f>
        <v>180.37362277252276</v>
      </c>
      <c r="AO69">
        <f t="shared" si="49"/>
        <v>256</v>
      </c>
      <c r="AP69">
        <f t="shared" ref="AP69:AP105" si="119">IF(H69&gt;O69, "",AM69)</f>
        <v>180.37362277252276</v>
      </c>
      <c r="AR69" s="5">
        <f t="shared" si="50"/>
        <v>5.5440478747890136</v>
      </c>
      <c r="AS69" s="5">
        <f t="shared" ref="AS69:AS105" si="120">L*AI69/J69*1000000</f>
        <v>2.800601503759399</v>
      </c>
      <c r="AT69" s="5">
        <f t="shared" si="51"/>
        <v>2.7434463710296146</v>
      </c>
      <c r="AU69" s="178">
        <f t="shared" si="52"/>
        <v>0.50515463917525782</v>
      </c>
      <c r="AW69" s="5">
        <f t="shared" ref="AW69:AW105" si="121">F69*AS69/Vout_ripple*1000</f>
        <v>5.9746165413533845</v>
      </c>
      <c r="AX69" s="5">
        <f t="shared" ref="AX69:AX105" si="122">G69*AS69/Vout_ripple2*1000</f>
        <v>2.9873082706766922</v>
      </c>
      <c r="AY69" s="5">
        <f t="shared" ref="AY69:AY105" si="123">H69/Efficiency/J69*AT69/Vinripple1</f>
        <v>0.30803608376472869</v>
      </c>
      <c r="AZ69" s="5"/>
      <c r="BA69" s="178">
        <f t="shared" si="53"/>
        <v>0.32834833533559316</v>
      </c>
      <c r="BB69" s="178">
        <f t="shared" ref="BB69:BB105" si="124">AI69*Npri_sec1*SQRT((1-AU69)/3)*(Pout/Pout_total)</f>
        <v>0.64996114215075484</v>
      </c>
      <c r="BC69" s="178">
        <f t="shared" ref="BC69:BC105" si="125">AI69*Npri_sec2*SQRT((1-AU69)/3)*(Pout2/Pout_total)</f>
        <v>0.32498057107537742</v>
      </c>
      <c r="BD69" s="178"/>
      <c r="BE69" s="545">
        <f t="shared" ref="BE69:BE105" si="126">Rdson*BA69^2</f>
        <v>3.7734420261179291E-2</v>
      </c>
      <c r="BF69" s="545">
        <f t="shared" ref="BF69:BF105" si="127">0.5*L69*AI69*AM69*1000*Trise</f>
        <v>5.2500000000000019E-2</v>
      </c>
      <c r="BG69" s="545">
        <f t="shared" ref="BG69:BG105" si="128">Qg*Vdd*AM69*1000</f>
        <v>2.2546702846565343E-3</v>
      </c>
      <c r="BH69" s="545">
        <f t="shared" ref="BH69:BH105" si="129">0.5*(Coss+Csw)*L69^2*AM69*1000</f>
        <v>2.1214192708333333E-2</v>
      </c>
      <c r="BI69">
        <f t="shared" ref="BI69:BI105" si="130">J69*IQ</f>
        <v>6.96E-3</v>
      </c>
      <c r="BJ69">
        <f t="shared" ref="BJ69:BJ100" si="131">(BF69+BG69+BH69+BI69+BE69*(1+RdsonTC*(Ta-25)))/(1-BE69*RdsonTC*ThetaJA)</f>
        <v>0.12226185413861031</v>
      </c>
      <c r="BK69" s="471">
        <f t="shared" si="54"/>
        <v>122.2618541386103</v>
      </c>
      <c r="BL69" s="178">
        <f t="shared" ref="BL69:BL105" si="132">Vfwd2*F69*(1+Diode_TC/1000*(Ta-25))</f>
        <v>7.6799999999999993E-2</v>
      </c>
      <c r="BM69" s="178">
        <f t="shared" ref="BM69:BM105" si="133">Vfwd2*G69*(1+Diode_TC/1000*(Ta-25))</f>
        <v>3.8399999999999997E-2</v>
      </c>
      <c r="BN69" s="545"/>
      <c r="BP69" s="471">
        <f t="shared" si="55"/>
        <v>115.2</v>
      </c>
      <c r="BQ69" s="545">
        <f t="shared" ref="BQ69:BQ105" si="134">Rdcr_pri*BA69^2</f>
        <v>1.0242199785177238E-2</v>
      </c>
      <c r="BR69" s="545">
        <f t="shared" ref="BR69:BR105" si="135">Rdcr_sec*BB69^2</f>
        <v>3.8020453767532235E-2</v>
      </c>
      <c r="BS69" s="545">
        <f t="shared" ref="BS69:BS105" si="136">Rdcr_sec2*BC69^2</f>
        <v>1.0561237157647844E-2</v>
      </c>
      <c r="BT69" s="545">
        <f t="shared" ref="BT69:BT105" si="137">AI69^2.5*AM69^2.5*k_core</f>
        <v>1.2512980214660088E-2</v>
      </c>
      <c r="BU69" s="545">
        <f t="shared" ref="BU69:BU100" si="138">(BT69+(BQ69+BR69+BS69)*(1+Ltc*(Ta-25)))/(1-(BQ69+BR69+BS69)*Ltc*ThetaCa)</f>
        <v>7.1674163176332684E-2</v>
      </c>
      <c r="BV69" s="655">
        <f t="shared" ref="BV69:BV105" si="139">0.5*Lleak*0.000000001*AI69^2*AM69*1000</f>
        <v>2.5984962406015052E-2</v>
      </c>
      <c r="BW69" s="471">
        <f t="shared" si="57"/>
        <v>97.659125582347741</v>
      </c>
      <c r="BX69" s="178">
        <f t="shared" si="58"/>
        <v>0.33512097972095806</v>
      </c>
      <c r="BY69" s="5">
        <f t="shared" si="59"/>
        <v>4.6080000000000005</v>
      </c>
      <c r="BZ69" s="178">
        <f t="shared" si="60"/>
        <v>0.93220457660336764</v>
      </c>
      <c r="CA69" s="5">
        <f t="shared" si="61"/>
        <v>93.220457660336763</v>
      </c>
      <c r="CB69">
        <f t="shared" si="92"/>
        <v>64</v>
      </c>
      <c r="CD69" s="580">
        <f t="shared" ref="CD69:CD105" si="140">IF(ABS(F69-Ioutmax_Vinnom)&lt;Iout/200, AM69, -50)</f>
        <v>-50</v>
      </c>
      <c r="CE69">
        <f t="shared" ref="CE69:CE105" si="141">IF(ABS(F69-Ioutmax_Vinnom)&lt;Iout/200, (O69+P69)*BZ69, -50)</f>
        <v>-50</v>
      </c>
    </row>
    <row r="70" spans="5:83" x14ac:dyDescent="0.2">
      <c r="E70" s="175">
        <v>65</v>
      </c>
      <c r="F70" s="222">
        <f t="shared" si="93"/>
        <v>0.26</v>
      </c>
      <c r="G70" s="222">
        <f t="shared" ref="G70:G105" si="142">IF(PLOT_TYPE=1, E70/100*Iout2, min_I*EXP(Q70*rr/100))</f>
        <v>0.13</v>
      </c>
      <c r="H70" s="222">
        <f t="shared" si="95"/>
        <v>3.12</v>
      </c>
      <c r="I70" s="222">
        <f t="shared" si="94"/>
        <v>1.56</v>
      </c>
      <c r="J70" s="558">
        <f t="shared" si="96"/>
        <v>24</v>
      </c>
      <c r="K70" s="453">
        <f t="shared" si="97"/>
        <v>24.5</v>
      </c>
      <c r="L70" s="453">
        <f t="shared" si="98"/>
        <v>48.5</v>
      </c>
      <c r="M70" s="453"/>
      <c r="N70" s="222">
        <f t="shared" si="99"/>
        <v>0.50515463917525771</v>
      </c>
      <c r="O70" s="177">
        <f t="shared" ref="O70:O101" si="143">N70*J70*Isw_max*0.5*Efficiency*Pout/(Pout+Pout2)</f>
        <v>5.5668041237113393</v>
      </c>
      <c r="P70" s="177">
        <f t="shared" si="100"/>
        <v>4.1751030927835044</v>
      </c>
      <c r="Q70" s="222">
        <f t="shared" si="101"/>
        <v>0.46390034364261162</v>
      </c>
      <c r="R70" s="222">
        <f t="shared" si="102"/>
        <v>0.46390034364261162</v>
      </c>
      <c r="S70" s="453">
        <f t="shared" si="103"/>
        <v>12</v>
      </c>
      <c r="T70" s="222">
        <f t="shared" si="104"/>
        <v>0.81267454350161128</v>
      </c>
      <c r="U70" s="222">
        <f t="shared" si="105"/>
        <v>2.8443609022556391</v>
      </c>
      <c r="V70" s="222">
        <f t="shared" si="106"/>
        <v>2.7863127205769525</v>
      </c>
      <c r="W70" s="202">
        <f t="shared" si="107"/>
        <v>350</v>
      </c>
      <c r="X70" s="453">
        <f t="shared" ref="X70:X105" si="144">MIN(1/(U70+V70)*1000, 350)</f>
        <v>177.59864396063779</v>
      </c>
      <c r="Z70" s="222">
        <f t="shared" si="108"/>
        <v>0.41237113402061859</v>
      </c>
      <c r="AA70" s="178">
        <f t="shared" si="109"/>
        <v>1.4138438880706923</v>
      </c>
      <c r="AB70" s="178">
        <f t="shared" si="110"/>
        <v>0.20405994260814117</v>
      </c>
      <c r="AC70" s="178"/>
      <c r="AD70" s="178">
        <f t="shared" si="111"/>
        <v>0.99428571428571422</v>
      </c>
      <c r="AE70" s="562">
        <f t="shared" si="112"/>
        <v>901.70432025366654</v>
      </c>
      <c r="AF70" s="545">
        <f t="shared" si="113"/>
        <v>0.10091999999999998</v>
      </c>
      <c r="AH70" s="178">
        <f t="shared" si="114"/>
        <v>0.56424050451804286</v>
      </c>
      <c r="AI70" s="178">
        <f t="shared" si="115"/>
        <v>0.81267454350161128</v>
      </c>
      <c r="AJ70" s="178">
        <f t="shared" si="116"/>
        <v>1.5871663285197122</v>
      </c>
      <c r="AL70" s="562">
        <f t="shared" si="117"/>
        <v>260</v>
      </c>
      <c r="AM70" s="471">
        <f t="shared" si="118"/>
        <v>177.59864396063779</v>
      </c>
      <c r="AO70">
        <f t="shared" ref="AO70:AO105" si="145">IF(H70&gt;O70, "",AL70)</f>
        <v>260</v>
      </c>
      <c r="AP70">
        <f t="shared" si="119"/>
        <v>177.59864396063779</v>
      </c>
      <c r="AR70" s="5">
        <f t="shared" ref="AR70:AR133" si="146">1/AM70*1000</f>
        <v>5.6306736228325924</v>
      </c>
      <c r="AS70" s="5">
        <f t="shared" si="120"/>
        <v>2.8443609022556391</v>
      </c>
      <c r="AT70" s="5">
        <f t="shared" ref="AT70:AT105" si="147">AR70-AS70</f>
        <v>2.7863127205769533</v>
      </c>
      <c r="AU70" s="178">
        <f t="shared" ref="AU70:AU105" si="148">AS70/AR70</f>
        <v>0.50515463917525771</v>
      </c>
      <c r="AW70" s="5">
        <f t="shared" si="121"/>
        <v>6.162781954887218</v>
      </c>
      <c r="AX70" s="5">
        <f t="shared" si="122"/>
        <v>3.081390977443609</v>
      </c>
      <c r="AY70" s="5">
        <f t="shared" si="123"/>
        <v>0.31773741550438939</v>
      </c>
      <c r="AZ70" s="5"/>
      <c r="BA70" s="178">
        <f t="shared" ref="BA70:BA105" si="149">AI70*SQRT(AU70/3)</f>
        <v>0.3334787780752117</v>
      </c>
      <c r="BB70" s="178">
        <f t="shared" si="124"/>
        <v>0.66011678499686033</v>
      </c>
      <c r="BC70" s="178">
        <f t="shared" si="125"/>
        <v>0.33005839249843016</v>
      </c>
      <c r="BD70" s="178"/>
      <c r="BE70" s="545">
        <f t="shared" si="126"/>
        <v>3.8922833399287704E-2</v>
      </c>
      <c r="BF70" s="545">
        <f t="shared" si="127"/>
        <v>5.2500000000000005E-2</v>
      </c>
      <c r="BG70" s="545">
        <f t="shared" si="128"/>
        <v>2.219983049507972E-3</v>
      </c>
      <c r="BH70" s="545">
        <f t="shared" si="129"/>
        <v>2.0887820512820513E-2</v>
      </c>
      <c r="BI70">
        <f t="shared" si="130"/>
        <v>6.96E-3</v>
      </c>
      <c r="BJ70">
        <f t="shared" si="131"/>
        <v>0.1231515526136738</v>
      </c>
      <c r="BK70" s="471">
        <f t="shared" ref="BK70:BK105" si="150">BJ70*1000</f>
        <v>123.1515526136738</v>
      </c>
      <c r="BL70" s="178">
        <f t="shared" si="132"/>
        <v>7.8E-2</v>
      </c>
      <c r="BM70" s="178">
        <f t="shared" si="133"/>
        <v>3.9E-2</v>
      </c>
      <c r="BN70" s="545"/>
      <c r="BP70" s="471">
        <f t="shared" ref="BP70:BP105" si="151">SUM(BL70:BO70)*1000</f>
        <v>117</v>
      </c>
      <c r="BQ70" s="545">
        <f t="shared" si="134"/>
        <v>1.0564769065520948E-2</v>
      </c>
      <c r="BR70" s="545">
        <f t="shared" si="135"/>
        <v>3.9217875285113203E-2</v>
      </c>
      <c r="BS70" s="545">
        <f t="shared" si="136"/>
        <v>1.089385424586478E-2</v>
      </c>
      <c r="BT70" s="545">
        <f t="shared" si="137"/>
        <v>1.251298021466009E-2</v>
      </c>
      <c r="BU70" s="545">
        <f t="shared" si="138"/>
        <v>7.3546482253336778E-2</v>
      </c>
      <c r="BV70" s="655">
        <f t="shared" si="139"/>
        <v>2.6390977443609031E-2</v>
      </c>
      <c r="BW70" s="471">
        <f t="shared" ref="BW70:BW105" si="152">(BU70+BV70)*1000</f>
        <v>99.937459696945808</v>
      </c>
      <c r="BX70" s="178">
        <f t="shared" ref="BX70:BX105" si="153">SUM(BJ70,BL70:BO70,BU70:BV70)</f>
        <v>0.34008901231061961</v>
      </c>
      <c r="BY70" s="5">
        <f t="shared" ref="BY70:BY105" si="154">MIN(H70+I70,O70+P70)</f>
        <v>4.68</v>
      </c>
      <c r="BZ70" s="178">
        <f t="shared" ref="BZ70:BZ105" si="155">BY70/(BY70+BX70)</f>
        <v>0.93225438603247279</v>
      </c>
      <c r="CA70" s="5">
        <f t="shared" ref="CA70:CA105" si="156">BZ70*100</f>
        <v>93.225438603247284</v>
      </c>
      <c r="CB70">
        <f t="shared" ref="CB70:CB105" si="157">F70/Iout*100</f>
        <v>65</v>
      </c>
      <c r="CD70" s="580">
        <f t="shared" si="140"/>
        <v>-50</v>
      </c>
      <c r="CE70">
        <f t="shared" si="141"/>
        <v>-50</v>
      </c>
    </row>
    <row r="71" spans="5:83" x14ac:dyDescent="0.2">
      <c r="E71" s="175">
        <v>66</v>
      </c>
      <c r="F71" s="222">
        <f t="shared" si="93"/>
        <v>0.26400000000000001</v>
      </c>
      <c r="G71" s="222">
        <f t="shared" si="142"/>
        <v>0.13200000000000001</v>
      </c>
      <c r="H71" s="222">
        <f t="shared" si="95"/>
        <v>3.1680000000000001</v>
      </c>
      <c r="I71" s="222">
        <f t="shared" si="94"/>
        <v>1.5840000000000001</v>
      </c>
      <c r="J71" s="558">
        <f t="shared" si="96"/>
        <v>24</v>
      </c>
      <c r="K71" s="453">
        <f t="shared" si="97"/>
        <v>24.5</v>
      </c>
      <c r="L71" s="453">
        <f t="shared" si="98"/>
        <v>48.5</v>
      </c>
      <c r="M71" s="453"/>
      <c r="N71" s="222">
        <f t="shared" si="99"/>
        <v>0.50515463917525771</v>
      </c>
      <c r="O71" s="177">
        <f t="shared" si="143"/>
        <v>5.5668041237113393</v>
      </c>
      <c r="P71" s="177">
        <f t="shared" si="100"/>
        <v>4.1751030927835044</v>
      </c>
      <c r="Q71" s="222">
        <f t="shared" si="101"/>
        <v>0.46390034364261162</v>
      </c>
      <c r="R71" s="222">
        <f t="shared" si="102"/>
        <v>0.46390034364261162</v>
      </c>
      <c r="S71" s="453">
        <f t="shared" si="103"/>
        <v>12</v>
      </c>
      <c r="T71" s="222">
        <f t="shared" si="104"/>
        <v>0.82517722878625155</v>
      </c>
      <c r="U71" s="222">
        <f t="shared" si="105"/>
        <v>2.8881203007518805</v>
      </c>
      <c r="V71" s="222">
        <f t="shared" si="106"/>
        <v>2.8291790701242912</v>
      </c>
      <c r="W71" s="202">
        <f t="shared" si="107"/>
        <v>350</v>
      </c>
      <c r="X71" s="453">
        <f t="shared" si="144"/>
        <v>174.9077554157796</v>
      </c>
      <c r="Z71" s="222">
        <f t="shared" si="108"/>
        <v>0.41237113402061859</v>
      </c>
      <c r="AA71" s="178">
        <f t="shared" si="109"/>
        <v>1.4138438880706923</v>
      </c>
      <c r="AB71" s="178">
        <f t="shared" si="110"/>
        <v>0.20405994260814117</v>
      </c>
      <c r="AC71" s="178"/>
      <c r="AD71" s="178">
        <f t="shared" si="111"/>
        <v>0.99428571428571422</v>
      </c>
      <c r="AE71" s="562">
        <f t="shared" si="112"/>
        <v>915.57669441141513</v>
      </c>
      <c r="AF71" s="545">
        <f t="shared" si="113"/>
        <v>0.10091999999999998</v>
      </c>
      <c r="AH71" s="178">
        <f t="shared" si="114"/>
        <v>0.56856424977521147</v>
      </c>
      <c r="AI71" s="178">
        <f t="shared" si="115"/>
        <v>0.82517722878625155</v>
      </c>
      <c r="AJ71" s="178">
        <f t="shared" si="116"/>
        <v>1.5964275768787048</v>
      </c>
      <c r="AL71" s="562">
        <f t="shared" si="117"/>
        <v>264</v>
      </c>
      <c r="AM71" s="471">
        <f t="shared" si="118"/>
        <v>174.9077554157796</v>
      </c>
      <c r="AO71">
        <f t="shared" si="145"/>
        <v>264</v>
      </c>
      <c r="AP71">
        <f t="shared" si="119"/>
        <v>174.9077554157796</v>
      </c>
      <c r="AR71" s="5">
        <f t="shared" si="146"/>
        <v>5.7172993708761712</v>
      </c>
      <c r="AS71" s="5">
        <f t="shared" si="120"/>
        <v>2.8881203007518805</v>
      </c>
      <c r="AT71" s="5">
        <f t="shared" si="147"/>
        <v>2.8291790701242907</v>
      </c>
      <c r="AU71" s="178">
        <f t="shared" si="148"/>
        <v>0.50515463917525782</v>
      </c>
      <c r="AW71" s="5">
        <f t="shared" si="121"/>
        <v>6.3538646616541374</v>
      </c>
      <c r="AX71" s="5">
        <f t="shared" si="122"/>
        <v>3.1769323308270687</v>
      </c>
      <c r="AY71" s="5">
        <f t="shared" si="123"/>
        <v>0.32758915548807577</v>
      </c>
      <c r="AZ71" s="5"/>
      <c r="BA71" s="178">
        <f t="shared" si="149"/>
        <v>0.33860922081483041</v>
      </c>
      <c r="BB71" s="178">
        <f t="shared" si="124"/>
        <v>0.67027242784296592</v>
      </c>
      <c r="BC71" s="178">
        <f t="shared" si="125"/>
        <v>0.33513621392148296</v>
      </c>
      <c r="BD71" s="178"/>
      <c r="BE71" s="545">
        <f t="shared" si="126"/>
        <v>4.0129671547289303E-2</v>
      </c>
      <c r="BF71" s="545">
        <f t="shared" si="127"/>
        <v>5.2499999999999998E-2</v>
      </c>
      <c r="BG71" s="545">
        <f t="shared" si="128"/>
        <v>2.186346942697245E-3</v>
      </c>
      <c r="BH71" s="545">
        <f t="shared" si="129"/>
        <v>2.0571338383838379E-2</v>
      </c>
      <c r="BI71">
        <f t="shared" si="130"/>
        <v>6.96E-3</v>
      </c>
      <c r="BJ71">
        <f t="shared" si="131"/>
        <v>0.12407257752704534</v>
      </c>
      <c r="BK71" s="471">
        <f t="shared" si="150"/>
        <v>124.07257752704534</v>
      </c>
      <c r="BL71" s="178">
        <f t="shared" si="132"/>
        <v>7.9200000000000007E-2</v>
      </c>
      <c r="BM71" s="178">
        <f t="shared" si="133"/>
        <v>3.9600000000000003E-2</v>
      </c>
      <c r="BN71" s="545"/>
      <c r="BP71" s="471">
        <f t="shared" si="151"/>
        <v>118.80000000000001</v>
      </c>
      <c r="BQ71" s="545">
        <f t="shared" si="134"/>
        <v>1.0892339419978525E-2</v>
      </c>
      <c r="BR71" s="545">
        <f t="shared" si="135"/>
        <v>4.0433861477385355E-2</v>
      </c>
      <c r="BS71" s="545">
        <f t="shared" si="136"/>
        <v>1.1231628188162599E-2</v>
      </c>
      <c r="BT71" s="545">
        <f t="shared" si="137"/>
        <v>1.251298021466008E-2</v>
      </c>
      <c r="BU71" s="545">
        <f t="shared" si="138"/>
        <v>7.5448400350900793E-2</v>
      </c>
      <c r="BV71" s="655">
        <f t="shared" si="139"/>
        <v>2.6796992481203017E-2</v>
      </c>
      <c r="BW71" s="471">
        <f t="shared" si="152"/>
        <v>102.2453928321038</v>
      </c>
      <c r="BX71" s="178">
        <f t="shared" si="153"/>
        <v>0.34511797035914921</v>
      </c>
      <c r="BY71" s="5">
        <f t="shared" si="154"/>
        <v>4.7520000000000007</v>
      </c>
      <c r="BZ71" s="178">
        <f t="shared" si="155"/>
        <v>0.93229154742619547</v>
      </c>
      <c r="CA71" s="5">
        <f t="shared" si="156"/>
        <v>93.229154742619542</v>
      </c>
      <c r="CB71">
        <f t="shared" si="157"/>
        <v>66</v>
      </c>
      <c r="CD71" s="580">
        <f t="shared" si="140"/>
        <v>-50</v>
      </c>
      <c r="CE71">
        <f t="shared" si="141"/>
        <v>-50</v>
      </c>
    </row>
    <row r="72" spans="5:83" x14ac:dyDescent="0.2">
      <c r="E72" s="175">
        <v>67</v>
      </c>
      <c r="F72" s="222">
        <f t="shared" ref="F72:F103" si="158">IF(PLOT_TYPE=1, E72/100*Iout_max, min_I*EXP(O72*rr/100))</f>
        <v>0.26800000000000002</v>
      </c>
      <c r="G72" s="222">
        <f t="shared" si="142"/>
        <v>0.13400000000000001</v>
      </c>
      <c r="H72" s="222">
        <f t="shared" si="95"/>
        <v>3.2160000000000002</v>
      </c>
      <c r="I72" s="222">
        <f t="shared" ref="I72:I105" si="159">Vout2*G72</f>
        <v>1.6080000000000001</v>
      </c>
      <c r="J72" s="558">
        <f t="shared" si="96"/>
        <v>24</v>
      </c>
      <c r="K72" s="453">
        <f t="shared" si="97"/>
        <v>24.5</v>
      </c>
      <c r="L72" s="453">
        <f t="shared" si="98"/>
        <v>48.5</v>
      </c>
      <c r="M72" s="453"/>
      <c r="N72" s="222">
        <f t="shared" si="99"/>
        <v>0.50515463917525771</v>
      </c>
      <c r="O72" s="177">
        <f t="shared" si="143"/>
        <v>5.5668041237113393</v>
      </c>
      <c r="P72" s="177">
        <f t="shared" si="100"/>
        <v>4.1751030927835044</v>
      </c>
      <c r="Q72" s="222">
        <f t="shared" si="101"/>
        <v>0.46390034364261162</v>
      </c>
      <c r="R72" s="222">
        <f t="shared" si="102"/>
        <v>0.46390034364261162</v>
      </c>
      <c r="S72" s="453">
        <f t="shared" si="103"/>
        <v>12</v>
      </c>
      <c r="T72" s="222">
        <f t="shared" si="104"/>
        <v>0.8376799140708916</v>
      </c>
      <c r="U72" s="222">
        <f t="shared" si="105"/>
        <v>2.9318796992481202</v>
      </c>
      <c r="V72" s="222">
        <f t="shared" si="106"/>
        <v>2.8720454196716281</v>
      </c>
      <c r="W72" s="202">
        <f t="shared" si="107"/>
        <v>350</v>
      </c>
      <c r="X72" s="453">
        <f t="shared" si="144"/>
        <v>172.29719190211128</v>
      </c>
      <c r="Z72" s="222">
        <f t="shared" si="108"/>
        <v>0.41237113402061859</v>
      </c>
      <c r="AA72" s="178">
        <f t="shared" si="109"/>
        <v>1.4138438880706923</v>
      </c>
      <c r="AB72" s="178">
        <f t="shared" si="110"/>
        <v>0.20405994260814117</v>
      </c>
      <c r="AC72" s="178"/>
      <c r="AD72" s="178">
        <f t="shared" si="111"/>
        <v>0.99428571428571422</v>
      </c>
      <c r="AE72" s="562">
        <f t="shared" si="112"/>
        <v>929.44906856916407</v>
      </c>
      <c r="AF72" s="545">
        <f t="shared" si="113"/>
        <v>0.10091999999999998</v>
      </c>
      <c r="AH72" s="178">
        <f t="shared" si="114"/>
        <v>0.57285536159324058</v>
      </c>
      <c r="AI72" s="178">
        <f t="shared" si="115"/>
        <v>0.8376799140708916</v>
      </c>
      <c r="AJ72" s="178">
        <f t="shared" si="116"/>
        <v>1.6056888252376975</v>
      </c>
      <c r="AL72" s="562">
        <f t="shared" si="117"/>
        <v>268</v>
      </c>
      <c r="AM72" s="471">
        <f t="shared" si="118"/>
        <v>172.29719190211128</v>
      </c>
      <c r="AO72">
        <f t="shared" si="145"/>
        <v>268</v>
      </c>
      <c r="AP72">
        <f t="shared" si="119"/>
        <v>172.29719190211128</v>
      </c>
      <c r="AR72" s="5">
        <f t="shared" si="146"/>
        <v>5.8039251189197492</v>
      </c>
      <c r="AS72" s="5">
        <f t="shared" si="120"/>
        <v>2.9318796992481202</v>
      </c>
      <c r="AT72" s="5">
        <f t="shared" si="147"/>
        <v>2.872045419671629</v>
      </c>
      <c r="AU72" s="178">
        <f t="shared" si="148"/>
        <v>0.5051546391752576</v>
      </c>
      <c r="AW72" s="5">
        <f t="shared" si="121"/>
        <v>6.5478646616541356</v>
      </c>
      <c r="AX72" s="5">
        <f t="shared" si="122"/>
        <v>3.2739323308270678</v>
      </c>
      <c r="AY72" s="5">
        <f t="shared" si="123"/>
        <v>0.33759130371578799</v>
      </c>
      <c r="AZ72" s="5"/>
      <c r="BA72" s="178">
        <f t="shared" si="149"/>
        <v>0.3437396635544489</v>
      </c>
      <c r="BB72" s="178">
        <f t="shared" si="124"/>
        <v>0.68042807068907152</v>
      </c>
      <c r="BC72" s="178">
        <f t="shared" si="125"/>
        <v>0.34021403534453576</v>
      </c>
      <c r="BD72" s="178"/>
      <c r="BE72" s="545">
        <f t="shared" si="126"/>
        <v>4.1354934705183997E-2</v>
      </c>
      <c r="BF72" s="545">
        <f t="shared" si="127"/>
        <v>5.2499999999999998E-2</v>
      </c>
      <c r="BG72" s="545">
        <f t="shared" si="128"/>
        <v>2.1537148987763911E-3</v>
      </c>
      <c r="BH72" s="545">
        <f t="shared" si="129"/>
        <v>2.0264303482587065E-2</v>
      </c>
      <c r="BI72">
        <f t="shared" si="130"/>
        <v>6.96E-3</v>
      </c>
      <c r="BJ72">
        <f t="shared" si="131"/>
        <v>0.12502448961959939</v>
      </c>
      <c r="BK72" s="471">
        <f t="shared" si="150"/>
        <v>125.02448961959939</v>
      </c>
      <c r="BL72" s="178">
        <f t="shared" si="132"/>
        <v>8.0399999999999999E-2</v>
      </c>
      <c r="BM72" s="178">
        <f t="shared" si="133"/>
        <v>4.02E-2</v>
      </c>
      <c r="BN72" s="545"/>
      <c r="BP72" s="471">
        <f t="shared" si="151"/>
        <v>120.6</v>
      </c>
      <c r="BQ72" s="545">
        <f t="shared" si="134"/>
        <v>1.1224910848549943E-2</v>
      </c>
      <c r="BR72" s="545">
        <f t="shared" si="135"/>
        <v>4.166841234434869E-2</v>
      </c>
      <c r="BS72" s="545">
        <f t="shared" si="136"/>
        <v>1.1574558984541303E-2</v>
      </c>
      <c r="BT72" s="545">
        <f t="shared" si="137"/>
        <v>1.2512980214660069E-2</v>
      </c>
      <c r="BU72" s="545">
        <f t="shared" si="138"/>
        <v>7.7379944081535645E-2</v>
      </c>
      <c r="BV72" s="655">
        <f t="shared" si="139"/>
        <v>2.7203007518796996E-2</v>
      </c>
      <c r="BW72" s="471">
        <f t="shared" si="152"/>
        <v>104.58295160033263</v>
      </c>
      <c r="BX72" s="178">
        <f t="shared" si="153"/>
        <v>0.35020744121993203</v>
      </c>
      <c r="BY72" s="5">
        <f t="shared" si="154"/>
        <v>4.8239999999999998</v>
      </c>
      <c r="BZ72" s="178">
        <f t="shared" si="155"/>
        <v>0.93231669870248512</v>
      </c>
      <c r="CA72" s="5">
        <f t="shared" si="156"/>
        <v>93.23166987024851</v>
      </c>
      <c r="CB72">
        <f t="shared" si="157"/>
        <v>67</v>
      </c>
      <c r="CD72" s="580">
        <f t="shared" si="140"/>
        <v>-50</v>
      </c>
      <c r="CE72">
        <f t="shared" si="141"/>
        <v>-50</v>
      </c>
    </row>
    <row r="73" spans="5:83" x14ac:dyDescent="0.2">
      <c r="E73" s="175">
        <v>68</v>
      </c>
      <c r="F73" s="222">
        <f t="shared" si="158"/>
        <v>0.27200000000000002</v>
      </c>
      <c r="G73" s="222">
        <f t="shared" si="142"/>
        <v>0.13600000000000001</v>
      </c>
      <c r="H73" s="222">
        <f t="shared" si="95"/>
        <v>3.2640000000000002</v>
      </c>
      <c r="I73" s="222">
        <f t="shared" si="159"/>
        <v>1.6320000000000001</v>
      </c>
      <c r="J73" s="558">
        <f t="shared" si="96"/>
        <v>24</v>
      </c>
      <c r="K73" s="453">
        <f t="shared" si="97"/>
        <v>24.5</v>
      </c>
      <c r="L73" s="453">
        <f t="shared" si="98"/>
        <v>48.5</v>
      </c>
      <c r="M73" s="453"/>
      <c r="N73" s="222">
        <f t="shared" si="99"/>
        <v>0.50515463917525771</v>
      </c>
      <c r="O73" s="177">
        <f t="shared" si="143"/>
        <v>5.5668041237113393</v>
      </c>
      <c r="P73" s="177">
        <f t="shared" si="100"/>
        <v>4.1751030927835044</v>
      </c>
      <c r="Q73" s="222">
        <f t="shared" si="101"/>
        <v>0.46390034364261162</v>
      </c>
      <c r="R73" s="222">
        <f t="shared" si="102"/>
        <v>0.46390034364261162</v>
      </c>
      <c r="S73" s="453">
        <f t="shared" si="103"/>
        <v>12</v>
      </c>
      <c r="T73" s="222">
        <f t="shared" si="104"/>
        <v>0.85018259935553198</v>
      </c>
      <c r="U73" s="222">
        <f t="shared" si="105"/>
        <v>2.9756390977443616</v>
      </c>
      <c r="V73" s="222">
        <f t="shared" si="106"/>
        <v>2.9149117692189663</v>
      </c>
      <c r="W73" s="202">
        <f t="shared" si="107"/>
        <v>350</v>
      </c>
      <c r="X73" s="453">
        <f t="shared" si="144"/>
        <v>169.76340966825668</v>
      </c>
      <c r="Z73" s="222">
        <f t="shared" si="108"/>
        <v>0.41237113402061859</v>
      </c>
      <c r="AA73" s="178">
        <f t="shared" si="109"/>
        <v>1.4138438880706923</v>
      </c>
      <c r="AB73" s="178">
        <f t="shared" si="110"/>
        <v>0.20405994260814117</v>
      </c>
      <c r="AC73" s="178"/>
      <c r="AD73" s="178">
        <f t="shared" si="111"/>
        <v>0.99428571428571422</v>
      </c>
      <c r="AE73" s="562">
        <f t="shared" si="112"/>
        <v>943.32144272691266</v>
      </c>
      <c r="AF73" s="545">
        <f t="shared" si="113"/>
        <v>0.10091999999999998</v>
      </c>
      <c r="AH73" s="178">
        <f t="shared" si="114"/>
        <v>0.57711456790640447</v>
      </c>
      <c r="AI73" s="178">
        <f t="shared" si="115"/>
        <v>0.85018259935553198</v>
      </c>
      <c r="AJ73" s="178">
        <f t="shared" si="116"/>
        <v>1.6149500735966904</v>
      </c>
      <c r="AL73" s="562">
        <f t="shared" si="117"/>
        <v>272</v>
      </c>
      <c r="AM73" s="471">
        <f t="shared" si="118"/>
        <v>169.76340966825668</v>
      </c>
      <c r="AO73">
        <f t="shared" si="145"/>
        <v>272</v>
      </c>
      <c r="AP73">
        <f t="shared" si="119"/>
        <v>169.76340966825668</v>
      </c>
      <c r="AR73" s="5">
        <f t="shared" si="146"/>
        <v>5.890550866963328</v>
      </c>
      <c r="AS73" s="5">
        <f t="shared" si="120"/>
        <v>2.9756390977443616</v>
      </c>
      <c r="AT73" s="5">
        <f t="shared" si="147"/>
        <v>2.9149117692189663</v>
      </c>
      <c r="AU73" s="178">
        <f t="shared" si="148"/>
        <v>0.50515463917525771</v>
      </c>
      <c r="AW73" s="5">
        <f t="shared" si="121"/>
        <v>6.7447819548872197</v>
      </c>
      <c r="AX73" s="5">
        <f t="shared" si="122"/>
        <v>3.3723909774436098</v>
      </c>
      <c r="AY73" s="5">
        <f t="shared" si="123"/>
        <v>0.34774386018752584</v>
      </c>
      <c r="AZ73" s="5"/>
      <c r="BA73" s="178">
        <f t="shared" si="149"/>
        <v>0.34887010629406767</v>
      </c>
      <c r="BB73" s="178">
        <f t="shared" si="124"/>
        <v>0.69058371353517711</v>
      </c>
      <c r="BC73" s="178">
        <f t="shared" si="125"/>
        <v>0.34529185676758856</v>
      </c>
      <c r="BD73" s="178"/>
      <c r="BE73" s="545">
        <f t="shared" si="126"/>
        <v>4.2598622872971927E-2</v>
      </c>
      <c r="BF73" s="545">
        <f t="shared" si="127"/>
        <v>5.2500000000000005E-2</v>
      </c>
      <c r="BG73" s="545">
        <f t="shared" si="128"/>
        <v>2.1220426208532085E-3</v>
      </c>
      <c r="BH73" s="545">
        <f t="shared" si="129"/>
        <v>1.996629901960784E-2</v>
      </c>
      <c r="BI73">
        <f t="shared" si="130"/>
        <v>6.96E-3</v>
      </c>
      <c r="BJ73">
        <f t="shared" si="131"/>
        <v>0.12600687933128252</v>
      </c>
      <c r="BK73" s="471">
        <f t="shared" si="150"/>
        <v>126.00687933128252</v>
      </c>
      <c r="BL73" s="178">
        <f t="shared" si="132"/>
        <v>8.1600000000000006E-2</v>
      </c>
      <c r="BM73" s="178">
        <f t="shared" si="133"/>
        <v>4.0800000000000003E-2</v>
      </c>
      <c r="BN73" s="545"/>
      <c r="BP73" s="471">
        <f t="shared" si="151"/>
        <v>122.4</v>
      </c>
      <c r="BQ73" s="545">
        <f t="shared" si="134"/>
        <v>1.1562483351235237E-2</v>
      </c>
      <c r="BR73" s="545">
        <f t="shared" si="135"/>
        <v>4.2921527886003195E-2</v>
      </c>
      <c r="BS73" s="545">
        <f t="shared" si="136"/>
        <v>1.1922646635000889E-2</v>
      </c>
      <c r="BT73" s="545">
        <f t="shared" si="137"/>
        <v>1.251298021466008E-2</v>
      </c>
      <c r="BU73" s="545">
        <f t="shared" si="138"/>
        <v>7.9341140484607775E-2</v>
      </c>
      <c r="BV73" s="655">
        <f t="shared" si="139"/>
        <v>2.7609022556390993E-2</v>
      </c>
      <c r="BW73" s="471">
        <f t="shared" si="152"/>
        <v>106.95016304099877</v>
      </c>
      <c r="BX73" s="178">
        <f t="shared" si="153"/>
        <v>0.35535704237228127</v>
      </c>
      <c r="BY73" s="5">
        <f t="shared" si="154"/>
        <v>4.8960000000000008</v>
      </c>
      <c r="BZ73" s="178">
        <f t="shared" si="155"/>
        <v>0.9323304358273552</v>
      </c>
      <c r="CA73" s="5">
        <f t="shared" si="156"/>
        <v>93.233043582735519</v>
      </c>
      <c r="CB73">
        <f t="shared" si="157"/>
        <v>68</v>
      </c>
      <c r="CD73" s="580">
        <f t="shared" si="140"/>
        <v>-50</v>
      </c>
      <c r="CE73">
        <f t="shared" si="141"/>
        <v>-50</v>
      </c>
    </row>
    <row r="74" spans="5:83" x14ac:dyDescent="0.2">
      <c r="E74" s="175">
        <v>69</v>
      </c>
      <c r="F74" s="222">
        <f t="shared" si="158"/>
        <v>0.27599999999999997</v>
      </c>
      <c r="G74" s="222">
        <f t="shared" si="142"/>
        <v>0.13799999999999998</v>
      </c>
      <c r="H74" s="222">
        <f t="shared" si="95"/>
        <v>3.3119999999999994</v>
      </c>
      <c r="I74" s="222">
        <f t="shared" si="159"/>
        <v>1.6559999999999997</v>
      </c>
      <c r="J74" s="558">
        <f t="shared" si="96"/>
        <v>24</v>
      </c>
      <c r="K74" s="453">
        <f t="shared" si="97"/>
        <v>24.5</v>
      </c>
      <c r="L74" s="453">
        <f t="shared" si="98"/>
        <v>48.5</v>
      </c>
      <c r="M74" s="453"/>
      <c r="N74" s="222">
        <f t="shared" si="99"/>
        <v>0.50515463917525771</v>
      </c>
      <c r="O74" s="177">
        <f t="shared" si="143"/>
        <v>5.5668041237113393</v>
      </c>
      <c r="P74" s="177">
        <f t="shared" si="100"/>
        <v>4.1751030927835044</v>
      </c>
      <c r="Q74" s="222">
        <f t="shared" si="101"/>
        <v>0.46390034364261162</v>
      </c>
      <c r="R74" s="222">
        <f t="shared" si="102"/>
        <v>0.46390034364261162</v>
      </c>
      <c r="S74" s="453">
        <f t="shared" si="103"/>
        <v>12</v>
      </c>
      <c r="T74" s="222">
        <f t="shared" si="104"/>
        <v>0.8626852846401718</v>
      </c>
      <c r="U74" s="222">
        <f t="shared" si="105"/>
        <v>3.0193984962406013</v>
      </c>
      <c r="V74" s="222">
        <f t="shared" si="106"/>
        <v>2.9577781187663033</v>
      </c>
      <c r="W74" s="202">
        <f t="shared" si="107"/>
        <v>350</v>
      </c>
      <c r="X74" s="453">
        <f t="shared" si="144"/>
        <v>167.3030703977023</v>
      </c>
      <c r="Z74" s="222">
        <f t="shared" si="108"/>
        <v>0.41237113402061859</v>
      </c>
      <c r="AA74" s="178">
        <f t="shared" si="109"/>
        <v>1.4138438880706923</v>
      </c>
      <c r="AB74" s="178">
        <f t="shared" si="110"/>
        <v>0.20405994260814117</v>
      </c>
      <c r="AC74" s="178"/>
      <c r="AD74" s="178">
        <f t="shared" si="111"/>
        <v>0.99428571428571422</v>
      </c>
      <c r="AE74" s="562">
        <f t="shared" si="112"/>
        <v>957.19381688466115</v>
      </c>
      <c r="AF74" s="545">
        <f t="shared" si="113"/>
        <v>0.10091999999999998</v>
      </c>
      <c r="AH74" s="178">
        <f t="shared" si="114"/>
        <v>0.58134256998216582</v>
      </c>
      <c r="AI74" s="178">
        <f t="shared" si="115"/>
        <v>0.8626852846401718</v>
      </c>
      <c r="AJ74" s="178">
        <f t="shared" si="116"/>
        <v>1.6242113219556829</v>
      </c>
      <c r="AL74" s="562">
        <f t="shared" si="117"/>
        <v>275.99999999999994</v>
      </c>
      <c r="AM74" s="471">
        <f t="shared" si="118"/>
        <v>167.3030703977023</v>
      </c>
      <c r="AO74">
        <f t="shared" si="145"/>
        <v>275.99999999999994</v>
      </c>
      <c r="AP74">
        <f t="shared" si="119"/>
        <v>167.3030703977023</v>
      </c>
      <c r="AR74" s="5">
        <f t="shared" si="146"/>
        <v>5.9771766150069041</v>
      </c>
      <c r="AS74" s="5">
        <f t="shared" si="120"/>
        <v>3.0193984962406013</v>
      </c>
      <c r="AT74" s="5">
        <f t="shared" si="147"/>
        <v>2.9577781187663028</v>
      </c>
      <c r="AU74" s="178">
        <f t="shared" si="148"/>
        <v>0.50515463917525782</v>
      </c>
      <c r="AW74" s="5">
        <f t="shared" si="121"/>
        <v>6.9446165413533825</v>
      </c>
      <c r="AX74" s="5">
        <f t="shared" si="122"/>
        <v>3.4723082706766912</v>
      </c>
      <c r="AY74" s="5">
        <f t="shared" si="123"/>
        <v>0.35804682490328915</v>
      </c>
      <c r="AZ74" s="5"/>
      <c r="BA74" s="178">
        <f t="shared" si="149"/>
        <v>0.35400054903368622</v>
      </c>
      <c r="BB74" s="178">
        <f t="shared" si="124"/>
        <v>0.70073935638128226</v>
      </c>
      <c r="BC74" s="178">
        <f t="shared" si="125"/>
        <v>0.35036967819064113</v>
      </c>
      <c r="BD74" s="178"/>
      <c r="BE74" s="545">
        <f t="shared" si="126"/>
        <v>4.3860736050652945E-2</v>
      </c>
      <c r="BF74" s="545">
        <f t="shared" si="127"/>
        <v>5.2500000000000005E-2</v>
      </c>
      <c r="BG74" s="545">
        <f t="shared" si="128"/>
        <v>2.0912883799712786E-3</v>
      </c>
      <c r="BH74" s="545">
        <f t="shared" si="129"/>
        <v>1.9676932367149763E-2</v>
      </c>
      <c r="BI74">
        <f t="shared" si="130"/>
        <v>6.96E-3</v>
      </c>
      <c r="BJ74">
        <f t="shared" si="131"/>
        <v>0.12701936471809946</v>
      </c>
      <c r="BK74" s="471">
        <f t="shared" si="150"/>
        <v>127.01936471809947</v>
      </c>
      <c r="BL74" s="178">
        <f t="shared" si="132"/>
        <v>8.2799999999999985E-2</v>
      </c>
      <c r="BM74" s="178">
        <f t="shared" si="133"/>
        <v>4.1399999999999992E-2</v>
      </c>
      <c r="BN74" s="545"/>
      <c r="BP74" s="471">
        <f t="shared" si="151"/>
        <v>124.19999999999997</v>
      </c>
      <c r="BQ74" s="545">
        <f t="shared" si="134"/>
        <v>1.1905056928034372E-2</v>
      </c>
      <c r="BR74" s="545">
        <f t="shared" si="135"/>
        <v>4.4193208102348829E-2</v>
      </c>
      <c r="BS74" s="545">
        <f t="shared" si="136"/>
        <v>1.2275891139541343E-2</v>
      </c>
      <c r="BT74" s="545">
        <f t="shared" si="137"/>
        <v>1.2512980214660054E-2</v>
      </c>
      <c r="BU74" s="545">
        <f t="shared" si="138"/>
        <v>8.1332017027291731E-2</v>
      </c>
      <c r="BV74" s="655">
        <f t="shared" si="139"/>
        <v>2.8015037593984968E-2</v>
      </c>
      <c r="BW74" s="471">
        <f t="shared" si="152"/>
        <v>109.3470546212767</v>
      </c>
      <c r="BX74" s="178">
        <f t="shared" si="153"/>
        <v>0.36056641933937622</v>
      </c>
      <c r="BY74" s="5">
        <f t="shared" si="154"/>
        <v>4.9679999999999991</v>
      </c>
      <c r="BZ74" s="178">
        <f t="shared" si="155"/>
        <v>0.93233331613719883</v>
      </c>
      <c r="CA74" s="5">
        <f t="shared" si="156"/>
        <v>93.233331613719884</v>
      </c>
      <c r="CB74">
        <f t="shared" si="157"/>
        <v>68.999999999999986</v>
      </c>
      <c r="CD74" s="580">
        <f t="shared" si="140"/>
        <v>-50</v>
      </c>
      <c r="CE74">
        <f t="shared" si="141"/>
        <v>-50</v>
      </c>
    </row>
    <row r="75" spans="5:83" x14ac:dyDescent="0.2">
      <c r="E75" s="175">
        <v>70</v>
      </c>
      <c r="F75" s="222">
        <f t="shared" si="158"/>
        <v>0.27999999999999997</v>
      </c>
      <c r="G75" s="222">
        <f t="shared" si="142"/>
        <v>0.13999999999999999</v>
      </c>
      <c r="H75" s="222">
        <f t="shared" si="95"/>
        <v>3.3599999999999994</v>
      </c>
      <c r="I75" s="222">
        <f t="shared" si="159"/>
        <v>1.6799999999999997</v>
      </c>
      <c r="J75" s="558">
        <f t="shared" si="96"/>
        <v>24</v>
      </c>
      <c r="K75" s="453">
        <f t="shared" si="97"/>
        <v>24.5</v>
      </c>
      <c r="L75" s="453">
        <f t="shared" si="98"/>
        <v>48.5</v>
      </c>
      <c r="M75" s="453"/>
      <c r="N75" s="222">
        <f t="shared" si="99"/>
        <v>0.50515463917525771</v>
      </c>
      <c r="O75" s="177">
        <f t="shared" si="143"/>
        <v>5.5668041237113393</v>
      </c>
      <c r="P75" s="177">
        <f t="shared" si="100"/>
        <v>4.1751030927835044</v>
      </c>
      <c r="Q75" s="222">
        <f t="shared" si="101"/>
        <v>0.46390034364261162</v>
      </c>
      <c r="R75" s="222">
        <f t="shared" si="102"/>
        <v>0.46390034364261162</v>
      </c>
      <c r="S75" s="453">
        <f t="shared" si="103"/>
        <v>12</v>
      </c>
      <c r="T75" s="222">
        <f t="shared" si="104"/>
        <v>0.87518796992481207</v>
      </c>
      <c r="U75" s="222">
        <f t="shared" si="105"/>
        <v>3.0631578947368423</v>
      </c>
      <c r="V75" s="222">
        <f t="shared" si="106"/>
        <v>3.0006444683136411</v>
      </c>
      <c r="W75" s="202">
        <f t="shared" si="107"/>
        <v>350</v>
      </c>
      <c r="X75" s="453">
        <f t="shared" si="144"/>
        <v>164.91302653487796</v>
      </c>
      <c r="Z75" s="222">
        <f t="shared" si="108"/>
        <v>0.41237113402061859</v>
      </c>
      <c r="AA75" s="178">
        <f t="shared" si="109"/>
        <v>1.4138438880706923</v>
      </c>
      <c r="AB75" s="178">
        <f t="shared" si="110"/>
        <v>0.20405994260814117</v>
      </c>
      <c r="AC75" s="178"/>
      <c r="AD75" s="178">
        <f t="shared" si="111"/>
        <v>0.99428571428571422</v>
      </c>
      <c r="AE75" s="562">
        <f t="shared" si="112"/>
        <v>971.06619104241008</v>
      </c>
      <c r="AF75" s="545">
        <f t="shared" si="113"/>
        <v>0.10091999999999998</v>
      </c>
      <c r="AH75" s="178">
        <f t="shared" si="114"/>
        <v>0.58554004376911983</v>
      </c>
      <c r="AI75" s="178">
        <f t="shared" si="115"/>
        <v>0.87518796992481207</v>
      </c>
      <c r="AJ75" s="178">
        <f t="shared" si="116"/>
        <v>1.6334725703146757</v>
      </c>
      <c r="AL75" s="562">
        <f t="shared" si="117"/>
        <v>279.99999999999994</v>
      </c>
      <c r="AM75" s="471">
        <f t="shared" si="118"/>
        <v>164.91302653487796</v>
      </c>
      <c r="AO75">
        <f t="shared" si="145"/>
        <v>279.99999999999994</v>
      </c>
      <c r="AP75">
        <f t="shared" si="119"/>
        <v>164.91302653487796</v>
      </c>
      <c r="AR75" s="5">
        <f t="shared" si="146"/>
        <v>6.0638023630504829</v>
      </c>
      <c r="AS75" s="5">
        <f t="shared" si="120"/>
        <v>3.0631578947368423</v>
      </c>
      <c r="AT75" s="5">
        <f t="shared" si="147"/>
        <v>3.0006444683136406</v>
      </c>
      <c r="AU75" s="178">
        <f t="shared" si="148"/>
        <v>0.50515463917525782</v>
      </c>
      <c r="AW75" s="5">
        <f t="shared" si="121"/>
        <v>7.1473684210526303</v>
      </c>
      <c r="AX75" s="5">
        <f t="shared" si="122"/>
        <v>3.5736842105263151</v>
      </c>
      <c r="AY75" s="5">
        <f t="shared" si="123"/>
        <v>0.36850019786307858</v>
      </c>
      <c r="AZ75" s="5"/>
      <c r="BA75" s="178">
        <f t="shared" si="149"/>
        <v>0.35913099177330493</v>
      </c>
      <c r="BB75" s="178">
        <f t="shared" si="124"/>
        <v>0.71089499922738797</v>
      </c>
      <c r="BC75" s="178">
        <f t="shared" si="125"/>
        <v>0.35544749961369398</v>
      </c>
      <c r="BD75" s="178"/>
      <c r="BE75" s="545">
        <f t="shared" si="126"/>
        <v>4.5141274238227162E-2</v>
      </c>
      <c r="BF75" s="545">
        <f t="shared" si="127"/>
        <v>5.2500000000000005E-2</v>
      </c>
      <c r="BG75" s="545">
        <f t="shared" si="128"/>
        <v>2.0614128316859743E-3</v>
      </c>
      <c r="BH75" s="545">
        <f t="shared" si="129"/>
        <v>1.9395833333333334E-2</v>
      </c>
      <c r="BI75">
        <f t="shared" si="130"/>
        <v>6.96E-3</v>
      </c>
      <c r="BJ75">
        <f t="shared" si="131"/>
        <v>0.12806158954819274</v>
      </c>
      <c r="BK75" s="471">
        <f t="shared" si="150"/>
        <v>128.06158954819276</v>
      </c>
      <c r="BL75" s="178">
        <f t="shared" si="132"/>
        <v>8.3999999999999991E-2</v>
      </c>
      <c r="BM75" s="178">
        <f t="shared" si="133"/>
        <v>4.1999999999999996E-2</v>
      </c>
      <c r="BN75" s="545"/>
      <c r="BP75" s="471">
        <f t="shared" si="151"/>
        <v>126</v>
      </c>
      <c r="BQ75" s="545">
        <f t="shared" si="134"/>
        <v>1.2252631578947373E-2</v>
      </c>
      <c r="BR75" s="545">
        <f t="shared" si="135"/>
        <v>4.5483452993385715E-2</v>
      </c>
      <c r="BS75" s="545">
        <f t="shared" si="136"/>
        <v>1.26342924981627E-2</v>
      </c>
      <c r="BT75" s="545">
        <f t="shared" si="137"/>
        <v>1.2512980214660069E-2</v>
      </c>
      <c r="BU75" s="545">
        <f t="shared" si="138"/>
        <v>8.3352601605538951E-2</v>
      </c>
      <c r="BV75" s="655">
        <f t="shared" si="139"/>
        <v>2.8421052631578955E-2</v>
      </c>
      <c r="BW75" s="471">
        <f t="shared" si="152"/>
        <v>111.77365423711791</v>
      </c>
      <c r="BX75" s="178">
        <f t="shared" si="153"/>
        <v>0.36583524378531068</v>
      </c>
      <c r="BY75" s="5">
        <f t="shared" si="154"/>
        <v>5.0399999999999991</v>
      </c>
      <c r="BZ75" s="178">
        <f t="shared" si="155"/>
        <v>0.93232586135400919</v>
      </c>
      <c r="CA75" s="5">
        <f t="shared" si="156"/>
        <v>93.232586135400922</v>
      </c>
      <c r="CB75">
        <f t="shared" si="157"/>
        <v>69.999999999999986</v>
      </c>
      <c r="CD75" s="580">
        <f t="shared" si="140"/>
        <v>-50</v>
      </c>
      <c r="CE75">
        <f t="shared" si="141"/>
        <v>-50</v>
      </c>
    </row>
    <row r="76" spans="5:83" x14ac:dyDescent="0.2">
      <c r="E76" s="175">
        <v>71</v>
      </c>
      <c r="F76" s="222">
        <f t="shared" si="158"/>
        <v>0.28399999999999997</v>
      </c>
      <c r="G76" s="222">
        <f t="shared" si="142"/>
        <v>0.14199999999999999</v>
      </c>
      <c r="H76" s="222">
        <f t="shared" si="95"/>
        <v>3.4079999999999995</v>
      </c>
      <c r="I76" s="222">
        <f t="shared" si="159"/>
        <v>1.7039999999999997</v>
      </c>
      <c r="J76" s="558">
        <f t="shared" si="96"/>
        <v>24</v>
      </c>
      <c r="K76" s="453">
        <f t="shared" si="97"/>
        <v>24.5</v>
      </c>
      <c r="L76" s="453">
        <f t="shared" si="98"/>
        <v>48.5</v>
      </c>
      <c r="M76" s="453"/>
      <c r="N76" s="222">
        <f t="shared" si="99"/>
        <v>0.50515463917525771</v>
      </c>
      <c r="O76" s="177">
        <f t="shared" si="143"/>
        <v>5.5668041237113393</v>
      </c>
      <c r="P76" s="177">
        <f t="shared" si="100"/>
        <v>4.1751030927835044</v>
      </c>
      <c r="Q76" s="222">
        <f t="shared" si="101"/>
        <v>0.46390034364261162</v>
      </c>
      <c r="R76" s="222">
        <f t="shared" si="102"/>
        <v>0.46390034364261162</v>
      </c>
      <c r="S76" s="453">
        <f t="shared" si="103"/>
        <v>12</v>
      </c>
      <c r="T76" s="222">
        <f t="shared" si="104"/>
        <v>0.88769065520945223</v>
      </c>
      <c r="U76" s="222">
        <f t="shared" si="105"/>
        <v>3.1069172932330824</v>
      </c>
      <c r="V76" s="222">
        <f t="shared" si="106"/>
        <v>3.0435108178609789</v>
      </c>
      <c r="W76" s="202">
        <f t="shared" si="107"/>
        <v>350</v>
      </c>
      <c r="X76" s="453">
        <f t="shared" si="144"/>
        <v>162.59030785128812</v>
      </c>
      <c r="Z76" s="222">
        <f t="shared" si="108"/>
        <v>0.41237113402061859</v>
      </c>
      <c r="AA76" s="178">
        <f t="shared" si="109"/>
        <v>1.4138438880706923</v>
      </c>
      <c r="AB76" s="178">
        <f t="shared" si="110"/>
        <v>0.20405994260814117</v>
      </c>
      <c r="AC76" s="178"/>
      <c r="AD76" s="178">
        <f t="shared" si="111"/>
        <v>0.99428571428571422</v>
      </c>
      <c r="AE76" s="562">
        <f t="shared" si="112"/>
        <v>984.93856520015868</v>
      </c>
      <c r="AF76" s="545">
        <f t="shared" si="113"/>
        <v>0.10091999999999998</v>
      </c>
      <c r="AH76" s="178">
        <f t="shared" si="114"/>
        <v>0.58970764115857977</v>
      </c>
      <c r="AI76" s="178">
        <f t="shared" si="115"/>
        <v>0.88769065520945223</v>
      </c>
      <c r="AJ76" s="178">
        <f t="shared" si="116"/>
        <v>1.6427338186736684</v>
      </c>
      <c r="AL76" s="562">
        <f t="shared" si="117"/>
        <v>284</v>
      </c>
      <c r="AM76" s="471">
        <f t="shared" si="118"/>
        <v>162.59030785128812</v>
      </c>
      <c r="AO76">
        <f t="shared" si="145"/>
        <v>284</v>
      </c>
      <c r="AP76">
        <f t="shared" si="119"/>
        <v>162.59030785128812</v>
      </c>
      <c r="AR76" s="5">
        <f t="shared" si="146"/>
        <v>6.1504281110940626</v>
      </c>
      <c r="AS76" s="5">
        <f t="shared" si="120"/>
        <v>3.1069172932330824</v>
      </c>
      <c r="AT76" s="5">
        <f t="shared" si="147"/>
        <v>3.0435108178609802</v>
      </c>
      <c r="AU76" s="178">
        <f t="shared" si="148"/>
        <v>0.5051546391752576</v>
      </c>
      <c r="AW76" s="5">
        <f t="shared" si="121"/>
        <v>7.3530375939849613</v>
      </c>
      <c r="AX76" s="5">
        <f t="shared" si="122"/>
        <v>3.6765187969924806</v>
      </c>
      <c r="AY76" s="5">
        <f t="shared" si="123"/>
        <v>0.37910397906689386</v>
      </c>
      <c r="AZ76" s="5"/>
      <c r="BA76" s="178">
        <f t="shared" si="149"/>
        <v>0.36426143451292348</v>
      </c>
      <c r="BB76" s="178">
        <f t="shared" si="124"/>
        <v>0.72105064207349367</v>
      </c>
      <c r="BC76" s="178">
        <f t="shared" si="125"/>
        <v>0.36052532103674684</v>
      </c>
      <c r="BD76" s="178"/>
      <c r="BE76" s="545">
        <f t="shared" si="126"/>
        <v>4.644023743569449E-2</v>
      </c>
      <c r="BF76" s="545">
        <f t="shared" si="127"/>
        <v>5.2499999999999998E-2</v>
      </c>
      <c r="BG76" s="545">
        <f t="shared" si="128"/>
        <v>2.0323788481411012E-3</v>
      </c>
      <c r="BH76" s="545">
        <f t="shared" si="129"/>
        <v>1.9122652582159623E-2</v>
      </c>
      <c r="BI76">
        <f t="shared" si="130"/>
        <v>6.96E-3</v>
      </c>
      <c r="BJ76">
        <f t="shared" si="131"/>
        <v>0.12913322155936865</v>
      </c>
      <c r="BK76" s="471">
        <f t="shared" si="150"/>
        <v>129.13322155936865</v>
      </c>
      <c r="BL76" s="178">
        <f t="shared" si="132"/>
        <v>8.5199999999999984E-2</v>
      </c>
      <c r="BM76" s="178">
        <f t="shared" si="133"/>
        <v>4.2599999999999992E-2</v>
      </c>
      <c r="BN76" s="545"/>
      <c r="BP76" s="471">
        <f t="shared" si="151"/>
        <v>127.79999999999997</v>
      </c>
      <c r="BQ76" s="545">
        <f t="shared" si="134"/>
        <v>1.2605207303974219E-2</v>
      </c>
      <c r="BR76" s="545">
        <f t="shared" si="135"/>
        <v>4.679226255911377E-2</v>
      </c>
      <c r="BS76" s="545">
        <f t="shared" si="136"/>
        <v>1.2997850710864936E-2</v>
      </c>
      <c r="BT76" s="545">
        <f t="shared" si="137"/>
        <v>1.2512980214660078E-2</v>
      </c>
      <c r="BU76" s="545">
        <f t="shared" si="138"/>
        <v>8.5402922545061183E-2</v>
      </c>
      <c r="BV76" s="655">
        <f t="shared" si="139"/>
        <v>2.8827067669172934E-2</v>
      </c>
      <c r="BW76" s="471">
        <f t="shared" si="152"/>
        <v>114.22999021423412</v>
      </c>
      <c r="BX76" s="178">
        <f t="shared" si="153"/>
        <v>0.37116321177360273</v>
      </c>
      <c r="BY76" s="5">
        <f t="shared" si="154"/>
        <v>5.1119999999999992</v>
      </c>
      <c r="BZ76" s="178">
        <f t="shared" si="155"/>
        <v>0.93230856032579323</v>
      </c>
      <c r="CA76" s="5">
        <f t="shared" si="156"/>
        <v>93.230856032579325</v>
      </c>
      <c r="CB76">
        <f t="shared" si="157"/>
        <v>70.999999999999986</v>
      </c>
      <c r="CD76" s="580">
        <f t="shared" si="140"/>
        <v>-50</v>
      </c>
      <c r="CE76">
        <f t="shared" si="141"/>
        <v>-50</v>
      </c>
    </row>
    <row r="77" spans="5:83" x14ac:dyDescent="0.2">
      <c r="E77" s="175">
        <v>72</v>
      </c>
      <c r="F77" s="222">
        <f t="shared" si="158"/>
        <v>0.28799999999999998</v>
      </c>
      <c r="G77" s="222">
        <f t="shared" si="142"/>
        <v>0.14399999999999999</v>
      </c>
      <c r="H77" s="222">
        <f t="shared" si="95"/>
        <v>3.4559999999999995</v>
      </c>
      <c r="I77" s="222">
        <f t="shared" si="159"/>
        <v>1.7279999999999998</v>
      </c>
      <c r="J77" s="558">
        <f t="shared" si="96"/>
        <v>24</v>
      </c>
      <c r="K77" s="453">
        <f t="shared" si="97"/>
        <v>24.5</v>
      </c>
      <c r="L77" s="453">
        <f t="shared" si="98"/>
        <v>48.5</v>
      </c>
      <c r="M77" s="453"/>
      <c r="N77" s="222">
        <f t="shared" si="99"/>
        <v>0.50515463917525771</v>
      </c>
      <c r="O77" s="177">
        <f t="shared" si="143"/>
        <v>5.5668041237113393</v>
      </c>
      <c r="P77" s="177">
        <f t="shared" si="100"/>
        <v>4.1751030927835044</v>
      </c>
      <c r="Q77" s="222">
        <f t="shared" si="101"/>
        <v>0.46390034364261162</v>
      </c>
      <c r="R77" s="222">
        <f t="shared" si="102"/>
        <v>0.46390034364261162</v>
      </c>
      <c r="S77" s="453">
        <f t="shared" si="103"/>
        <v>12</v>
      </c>
      <c r="T77" s="222">
        <f t="shared" si="104"/>
        <v>0.90019334049409239</v>
      </c>
      <c r="U77" s="222">
        <f t="shared" si="105"/>
        <v>3.1506766917293234</v>
      </c>
      <c r="V77" s="222">
        <f t="shared" si="106"/>
        <v>3.0863771674083167</v>
      </c>
      <c r="W77" s="202">
        <f t="shared" si="107"/>
        <v>350</v>
      </c>
      <c r="X77" s="453">
        <f t="shared" si="144"/>
        <v>160.33210913113132</v>
      </c>
      <c r="Z77" s="222">
        <f t="shared" si="108"/>
        <v>0.41237113402061859</v>
      </c>
      <c r="AA77" s="178">
        <f t="shared" si="109"/>
        <v>1.4138438880706923</v>
      </c>
      <c r="AB77" s="178">
        <f t="shared" si="110"/>
        <v>0.20405994260814117</v>
      </c>
      <c r="AC77" s="178"/>
      <c r="AD77" s="178">
        <f t="shared" si="111"/>
        <v>0.99428571428571422</v>
      </c>
      <c r="AE77" s="562">
        <f t="shared" si="112"/>
        <v>998.81093935790739</v>
      </c>
      <c r="AF77" s="545">
        <f t="shared" si="113"/>
        <v>0.10091999999999998</v>
      </c>
      <c r="AH77" s="178">
        <f t="shared" si="114"/>
        <v>0.59384599116647219</v>
      </c>
      <c r="AI77" s="178">
        <f t="shared" si="115"/>
        <v>0.90019334049409239</v>
      </c>
      <c r="AJ77" s="178">
        <f t="shared" si="116"/>
        <v>1.6519950670326611</v>
      </c>
      <c r="AL77" s="562">
        <f t="shared" si="117"/>
        <v>288</v>
      </c>
      <c r="AM77" s="471">
        <f t="shared" si="118"/>
        <v>160.33210913113132</v>
      </c>
      <c r="AO77">
        <f t="shared" si="145"/>
        <v>288</v>
      </c>
      <c r="AP77">
        <f t="shared" si="119"/>
        <v>160.33210913113132</v>
      </c>
      <c r="AR77" s="5">
        <f t="shared" si="146"/>
        <v>6.2370538591376405</v>
      </c>
      <c r="AS77" s="5">
        <f t="shared" si="120"/>
        <v>3.1506766917293234</v>
      </c>
      <c r="AT77" s="5">
        <f t="shared" si="147"/>
        <v>3.0863771674083171</v>
      </c>
      <c r="AU77" s="178">
        <f t="shared" si="148"/>
        <v>0.50515463917525771</v>
      </c>
      <c r="AW77" s="5">
        <f t="shared" si="121"/>
        <v>7.5616240601503755</v>
      </c>
      <c r="AX77" s="5">
        <f t="shared" si="122"/>
        <v>3.7808120300751877</v>
      </c>
      <c r="AY77" s="5">
        <f t="shared" si="123"/>
        <v>0.3898581685147347</v>
      </c>
      <c r="AZ77" s="5"/>
      <c r="BA77" s="178">
        <f t="shared" si="149"/>
        <v>0.36939187725254213</v>
      </c>
      <c r="BB77" s="178">
        <f t="shared" si="124"/>
        <v>0.73120628491959905</v>
      </c>
      <c r="BC77" s="178">
        <f t="shared" si="125"/>
        <v>0.36560314245979952</v>
      </c>
      <c r="BD77" s="178"/>
      <c r="BE77" s="545">
        <f t="shared" si="126"/>
        <v>4.7757625643054996E-2</v>
      </c>
      <c r="BF77" s="545">
        <f t="shared" si="127"/>
        <v>5.2499999999999984E-2</v>
      </c>
      <c r="BG77" s="545">
        <f t="shared" si="128"/>
        <v>2.0041513641391412E-3</v>
      </c>
      <c r="BH77" s="545">
        <f t="shared" si="129"/>
        <v>1.8857060185185185E-2</v>
      </c>
      <c r="BI77">
        <f t="shared" si="130"/>
        <v>6.96E-3</v>
      </c>
      <c r="BJ77">
        <f t="shared" si="131"/>
        <v>0.13023395086238534</v>
      </c>
      <c r="BK77" s="471">
        <f t="shared" si="150"/>
        <v>130.23395086238534</v>
      </c>
      <c r="BL77" s="178">
        <f t="shared" si="132"/>
        <v>8.6399999999999991E-2</v>
      </c>
      <c r="BM77" s="178">
        <f t="shared" si="133"/>
        <v>4.3199999999999995E-2</v>
      </c>
      <c r="BN77" s="545"/>
      <c r="BP77" s="471">
        <f t="shared" si="151"/>
        <v>129.6</v>
      </c>
      <c r="BQ77" s="545">
        <f t="shared" si="134"/>
        <v>1.296278410311493E-2</v>
      </c>
      <c r="BR77" s="545">
        <f t="shared" si="135"/>
        <v>4.8119636799532961E-2</v>
      </c>
      <c r="BS77" s="545">
        <f t="shared" si="136"/>
        <v>1.3366565777648047E-2</v>
      </c>
      <c r="BT77" s="545">
        <f t="shared" si="137"/>
        <v>1.2512980214660088E-2</v>
      </c>
      <c r="BU77" s="545">
        <f t="shared" si="138"/>
        <v>8.7483008602331006E-2</v>
      </c>
      <c r="BV77" s="655">
        <f t="shared" si="139"/>
        <v>2.9233082706766916E-2</v>
      </c>
      <c r="BW77" s="471">
        <f t="shared" si="152"/>
        <v>116.71609130909792</v>
      </c>
      <c r="BX77" s="178">
        <f t="shared" si="153"/>
        <v>0.37655004217148325</v>
      </c>
      <c r="BY77" s="5">
        <f t="shared" si="154"/>
        <v>5.1839999999999993</v>
      </c>
      <c r="BZ77" s="178">
        <f t="shared" si="155"/>
        <v>0.93228187152067521</v>
      </c>
      <c r="CA77" s="5">
        <f t="shared" si="156"/>
        <v>93.22818715206752</v>
      </c>
      <c r="CB77">
        <f t="shared" si="157"/>
        <v>71.999999999999986</v>
      </c>
      <c r="CD77" s="580">
        <f t="shared" si="140"/>
        <v>-50</v>
      </c>
      <c r="CE77">
        <f t="shared" si="141"/>
        <v>-50</v>
      </c>
    </row>
    <row r="78" spans="5:83" x14ac:dyDescent="0.2">
      <c r="E78" s="175">
        <v>73</v>
      </c>
      <c r="F78" s="222">
        <f t="shared" si="158"/>
        <v>0.29199999999999998</v>
      </c>
      <c r="G78" s="222">
        <f t="shared" si="142"/>
        <v>0.14599999999999999</v>
      </c>
      <c r="H78" s="222">
        <f t="shared" si="95"/>
        <v>3.5039999999999996</v>
      </c>
      <c r="I78" s="222">
        <f t="shared" si="159"/>
        <v>1.7519999999999998</v>
      </c>
      <c r="J78" s="558">
        <f t="shared" si="96"/>
        <v>24</v>
      </c>
      <c r="K78" s="453">
        <f t="shared" si="97"/>
        <v>24.5</v>
      </c>
      <c r="L78" s="453">
        <f t="shared" si="98"/>
        <v>48.5</v>
      </c>
      <c r="M78" s="453"/>
      <c r="N78" s="222">
        <f t="shared" si="99"/>
        <v>0.50515463917525771</v>
      </c>
      <c r="O78" s="177">
        <f t="shared" si="143"/>
        <v>5.5668041237113393</v>
      </c>
      <c r="P78" s="177">
        <f t="shared" si="100"/>
        <v>4.1751030927835044</v>
      </c>
      <c r="Q78" s="222">
        <f t="shared" si="101"/>
        <v>0.46390034364261162</v>
      </c>
      <c r="R78" s="222">
        <f t="shared" si="102"/>
        <v>0.46390034364261162</v>
      </c>
      <c r="S78" s="453">
        <f t="shared" si="103"/>
        <v>12</v>
      </c>
      <c r="T78" s="222">
        <f t="shared" si="104"/>
        <v>0.91269602577873254</v>
      </c>
      <c r="U78" s="222">
        <f t="shared" si="105"/>
        <v>3.194436090225564</v>
      </c>
      <c r="V78" s="222">
        <f t="shared" si="106"/>
        <v>3.1292435169556545</v>
      </c>
      <c r="W78" s="202">
        <f t="shared" si="107"/>
        <v>350</v>
      </c>
      <c r="X78" s="453">
        <f t="shared" si="144"/>
        <v>158.13577886906106</v>
      </c>
      <c r="Z78" s="222">
        <f t="shared" si="108"/>
        <v>0.41237113402061859</v>
      </c>
      <c r="AA78" s="178">
        <f t="shared" si="109"/>
        <v>1.4138438880706923</v>
      </c>
      <c r="AB78" s="178">
        <f t="shared" si="110"/>
        <v>0.20405994260814117</v>
      </c>
      <c r="AC78" s="178"/>
      <c r="AD78" s="178">
        <f t="shared" si="111"/>
        <v>0.99428571428571422</v>
      </c>
      <c r="AE78" s="562">
        <f t="shared" si="112"/>
        <v>1012.6833135156562</v>
      </c>
      <c r="AF78" s="545">
        <f t="shared" si="113"/>
        <v>0.10091999999999998</v>
      </c>
      <c r="AH78" s="178">
        <f t="shared" si="114"/>
        <v>0.59795570104161</v>
      </c>
      <c r="AI78" s="178">
        <f t="shared" si="115"/>
        <v>0.91269602577873254</v>
      </c>
      <c r="AJ78" s="178">
        <f t="shared" si="116"/>
        <v>1.6612563153916537</v>
      </c>
      <c r="AL78" s="562">
        <f t="shared" si="117"/>
        <v>292</v>
      </c>
      <c r="AM78" s="471">
        <f t="shared" si="118"/>
        <v>158.13577886906106</v>
      </c>
      <c r="AO78">
        <f t="shared" si="145"/>
        <v>292</v>
      </c>
      <c r="AP78">
        <f t="shared" si="119"/>
        <v>158.13577886906106</v>
      </c>
      <c r="AR78" s="5">
        <f t="shared" si="146"/>
        <v>6.3236796071812185</v>
      </c>
      <c r="AS78" s="5">
        <f t="shared" si="120"/>
        <v>3.194436090225564</v>
      </c>
      <c r="AT78" s="5">
        <f t="shared" si="147"/>
        <v>3.1292435169556545</v>
      </c>
      <c r="AU78" s="178">
        <f t="shared" si="148"/>
        <v>0.50515463917525771</v>
      </c>
      <c r="AW78" s="5">
        <f t="shared" si="121"/>
        <v>7.773127819548872</v>
      </c>
      <c r="AX78" s="5">
        <f t="shared" si="122"/>
        <v>3.886563909774436</v>
      </c>
      <c r="AY78" s="5">
        <f t="shared" si="123"/>
        <v>0.40076276620660128</v>
      </c>
      <c r="AZ78" s="5"/>
      <c r="BA78" s="178">
        <f t="shared" si="149"/>
        <v>0.37452231999216079</v>
      </c>
      <c r="BB78" s="178">
        <f t="shared" si="124"/>
        <v>0.74136192776570464</v>
      </c>
      <c r="BC78" s="178">
        <f t="shared" si="125"/>
        <v>0.37068096388285232</v>
      </c>
      <c r="BD78" s="178"/>
      <c r="BE78" s="545">
        <f t="shared" si="126"/>
        <v>4.9093438860308668E-2</v>
      </c>
      <c r="BF78" s="545">
        <f t="shared" si="127"/>
        <v>5.2499999999999998E-2</v>
      </c>
      <c r="BG78" s="545">
        <f t="shared" si="128"/>
        <v>1.9766972358632633E-3</v>
      </c>
      <c r="BH78" s="545">
        <f t="shared" si="129"/>
        <v>1.8598744292237446E-2</v>
      </c>
      <c r="BI78">
        <f t="shared" si="130"/>
        <v>6.96E-3</v>
      </c>
      <c r="BJ78">
        <f t="shared" si="131"/>
        <v>0.13136348847603574</v>
      </c>
      <c r="BK78" s="471">
        <f t="shared" si="150"/>
        <v>131.36348847603574</v>
      </c>
      <c r="BL78" s="178">
        <f t="shared" si="132"/>
        <v>8.7599999999999997E-2</v>
      </c>
      <c r="BM78" s="178">
        <f t="shared" si="133"/>
        <v>4.3799999999999999E-2</v>
      </c>
      <c r="BN78" s="545"/>
      <c r="BP78" s="471">
        <f t="shared" si="151"/>
        <v>131.39999999999998</v>
      </c>
      <c r="BQ78" s="545">
        <f t="shared" si="134"/>
        <v>1.3325361976369497E-2</v>
      </c>
      <c r="BR78" s="545">
        <f t="shared" si="135"/>
        <v>4.946557571464337E-2</v>
      </c>
      <c r="BS78" s="545">
        <f t="shared" si="136"/>
        <v>1.3740437698512048E-2</v>
      </c>
      <c r="BT78" s="545">
        <f t="shared" si="137"/>
        <v>1.251298021466009E-2</v>
      </c>
      <c r="BU78" s="545">
        <f t="shared" si="138"/>
        <v>8.9592888965597653E-2</v>
      </c>
      <c r="BV78" s="655">
        <f t="shared" si="139"/>
        <v>2.9639097744360906E-2</v>
      </c>
      <c r="BW78" s="471">
        <f t="shared" si="152"/>
        <v>119.23198670995856</v>
      </c>
      <c r="BX78" s="178">
        <f t="shared" si="153"/>
        <v>0.3819954751859943</v>
      </c>
      <c r="BY78" s="5">
        <f t="shared" si="154"/>
        <v>5.2559999999999993</v>
      </c>
      <c r="BZ78" s="178">
        <f t="shared" si="155"/>
        <v>0.93224622529988943</v>
      </c>
      <c r="CA78" s="5">
        <f t="shared" si="156"/>
        <v>93.224622529988949</v>
      </c>
      <c r="CB78">
        <f t="shared" si="157"/>
        <v>72.999999999999986</v>
      </c>
      <c r="CD78" s="580">
        <f t="shared" si="140"/>
        <v>-50</v>
      </c>
      <c r="CE78">
        <f t="shared" si="141"/>
        <v>-50</v>
      </c>
    </row>
    <row r="79" spans="5:83" x14ac:dyDescent="0.2">
      <c r="E79" s="175">
        <v>74</v>
      </c>
      <c r="F79" s="222">
        <f t="shared" si="158"/>
        <v>0.29599999999999999</v>
      </c>
      <c r="G79" s="222">
        <f t="shared" si="142"/>
        <v>0.14799999999999999</v>
      </c>
      <c r="H79" s="222">
        <f t="shared" si="95"/>
        <v>3.5519999999999996</v>
      </c>
      <c r="I79" s="222">
        <f t="shared" si="159"/>
        <v>1.7759999999999998</v>
      </c>
      <c r="J79" s="558">
        <f t="shared" si="96"/>
        <v>24</v>
      </c>
      <c r="K79" s="453">
        <f t="shared" si="97"/>
        <v>24.5</v>
      </c>
      <c r="L79" s="453">
        <f t="shared" si="98"/>
        <v>48.5</v>
      </c>
      <c r="M79" s="453"/>
      <c r="N79" s="222">
        <f t="shared" si="99"/>
        <v>0.50515463917525771</v>
      </c>
      <c r="O79" s="177">
        <f t="shared" si="143"/>
        <v>5.5668041237113393</v>
      </c>
      <c r="P79" s="177">
        <f t="shared" si="100"/>
        <v>4.1751030927835044</v>
      </c>
      <c r="Q79" s="222">
        <f t="shared" si="101"/>
        <v>0.46390034364261162</v>
      </c>
      <c r="R79" s="222">
        <f t="shared" si="102"/>
        <v>0.46390034364261162</v>
      </c>
      <c r="S79" s="453">
        <f t="shared" si="103"/>
        <v>12</v>
      </c>
      <c r="T79" s="222">
        <f t="shared" si="104"/>
        <v>0.92519871106337281</v>
      </c>
      <c r="U79" s="222">
        <f t="shared" si="105"/>
        <v>3.238195488721805</v>
      </c>
      <c r="V79" s="222">
        <f t="shared" si="106"/>
        <v>3.1721098665029923</v>
      </c>
      <c r="W79" s="202">
        <f t="shared" si="107"/>
        <v>350</v>
      </c>
      <c r="X79" s="453">
        <f t="shared" si="144"/>
        <v>155.99880888434402</v>
      </c>
      <c r="Z79" s="222">
        <f t="shared" si="108"/>
        <v>0.41237113402061859</v>
      </c>
      <c r="AA79" s="178">
        <f t="shared" si="109"/>
        <v>1.4138438880706923</v>
      </c>
      <c r="AB79" s="178">
        <f t="shared" si="110"/>
        <v>0.20405994260814117</v>
      </c>
      <c r="AC79" s="178"/>
      <c r="AD79" s="178">
        <f t="shared" si="111"/>
        <v>0.99428571428571422</v>
      </c>
      <c r="AE79" s="562">
        <f t="shared" si="112"/>
        <v>1026.5556876734049</v>
      </c>
      <c r="AF79" s="545">
        <f t="shared" si="113"/>
        <v>0.10091999999999998</v>
      </c>
      <c r="AH79" s="178">
        <f t="shared" si="114"/>
        <v>0.60203735730587071</v>
      </c>
      <c r="AI79" s="178">
        <f t="shared" si="115"/>
        <v>0.92519871106337281</v>
      </c>
      <c r="AJ79" s="178">
        <f t="shared" si="116"/>
        <v>1.6705175637506464</v>
      </c>
      <c r="AL79" s="562">
        <f t="shared" si="117"/>
        <v>296</v>
      </c>
      <c r="AM79" s="471">
        <f t="shared" si="118"/>
        <v>155.99880888434402</v>
      </c>
      <c r="AO79">
        <f t="shared" si="145"/>
        <v>296</v>
      </c>
      <c r="AP79">
        <f t="shared" si="119"/>
        <v>155.99880888434402</v>
      </c>
      <c r="AR79" s="5">
        <f t="shared" si="146"/>
        <v>6.4103053552247964</v>
      </c>
      <c r="AS79" s="5">
        <f t="shared" si="120"/>
        <v>3.238195488721805</v>
      </c>
      <c r="AT79" s="5">
        <f t="shared" si="147"/>
        <v>3.1721098665029914</v>
      </c>
      <c r="AU79" s="178">
        <f t="shared" si="148"/>
        <v>0.50515463917525782</v>
      </c>
      <c r="AW79" s="5">
        <f t="shared" si="121"/>
        <v>7.9875488721804517</v>
      </c>
      <c r="AX79" s="5">
        <f t="shared" si="122"/>
        <v>3.9937744360902259</v>
      </c>
      <c r="AY79" s="5">
        <f t="shared" si="123"/>
        <v>0.41181777214249349</v>
      </c>
      <c r="AZ79" s="5"/>
      <c r="BA79" s="178">
        <f t="shared" si="149"/>
        <v>0.3796527627317795</v>
      </c>
      <c r="BB79" s="178">
        <f t="shared" si="124"/>
        <v>0.75151757061181013</v>
      </c>
      <c r="BC79" s="178">
        <f t="shared" si="125"/>
        <v>0.37575878530590506</v>
      </c>
      <c r="BD79" s="178"/>
      <c r="BE79" s="545">
        <f t="shared" si="126"/>
        <v>5.0447677087455498E-2</v>
      </c>
      <c r="BF79" s="545">
        <f t="shared" si="127"/>
        <v>5.2499999999999998E-2</v>
      </c>
      <c r="BG79" s="545">
        <f t="shared" si="128"/>
        <v>1.9499851110543001E-3</v>
      </c>
      <c r="BH79" s="545">
        <f t="shared" si="129"/>
        <v>1.8347409909909913E-2</v>
      </c>
      <c r="BI79">
        <f t="shared" si="130"/>
        <v>6.96E-3</v>
      </c>
      <c r="BJ79">
        <f t="shared" si="131"/>
        <v>0.13252156498156917</v>
      </c>
      <c r="BK79" s="471">
        <f t="shared" si="150"/>
        <v>132.52156498156916</v>
      </c>
      <c r="BL79" s="178">
        <f t="shared" si="132"/>
        <v>8.879999999999999E-2</v>
      </c>
      <c r="BM79" s="178">
        <f t="shared" si="133"/>
        <v>4.4399999999999995E-2</v>
      </c>
      <c r="BN79" s="545"/>
      <c r="BP79" s="471">
        <f t="shared" si="151"/>
        <v>133.19999999999999</v>
      </c>
      <c r="BQ79" s="545">
        <f t="shared" si="134"/>
        <v>1.3692940923737922E-2</v>
      </c>
      <c r="BR79" s="545">
        <f t="shared" si="135"/>
        <v>5.0830079304444935E-2</v>
      </c>
      <c r="BS79" s="545">
        <f t="shared" si="136"/>
        <v>1.4119466473456927E-2</v>
      </c>
      <c r="BT79" s="545">
        <f t="shared" si="137"/>
        <v>1.2512980214660069E-2</v>
      </c>
      <c r="BU79" s="545">
        <f t="shared" si="138"/>
        <v>9.1732593255918704E-2</v>
      </c>
      <c r="BV79" s="655">
        <f t="shared" si="139"/>
        <v>3.0045112781954895E-2</v>
      </c>
      <c r="BW79" s="471">
        <f t="shared" si="152"/>
        <v>121.7777060378736</v>
      </c>
      <c r="BX79" s="178">
        <f t="shared" si="153"/>
        <v>0.38749927101944276</v>
      </c>
      <c r="BY79" s="5">
        <f t="shared" si="154"/>
        <v>5.3279999999999994</v>
      </c>
      <c r="BZ79" s="178">
        <f t="shared" si="155"/>
        <v>0.93220202599197843</v>
      </c>
      <c r="CA79" s="5">
        <f t="shared" si="156"/>
        <v>93.220202599197847</v>
      </c>
      <c r="CB79">
        <f t="shared" si="157"/>
        <v>73.999999999999986</v>
      </c>
      <c r="CD79" s="580">
        <f t="shared" si="140"/>
        <v>-50</v>
      </c>
      <c r="CE79">
        <f t="shared" si="141"/>
        <v>-50</v>
      </c>
    </row>
    <row r="80" spans="5:83" x14ac:dyDescent="0.2">
      <c r="E80" s="175">
        <v>75</v>
      </c>
      <c r="F80" s="222">
        <f t="shared" si="158"/>
        <v>0.30000000000000004</v>
      </c>
      <c r="G80" s="222">
        <f t="shared" si="142"/>
        <v>0.15000000000000002</v>
      </c>
      <c r="H80" s="222">
        <f t="shared" si="95"/>
        <v>3.6000000000000005</v>
      </c>
      <c r="I80" s="222">
        <f t="shared" si="159"/>
        <v>1.8000000000000003</v>
      </c>
      <c r="J80" s="558">
        <f t="shared" si="96"/>
        <v>24</v>
      </c>
      <c r="K80" s="453">
        <f t="shared" si="97"/>
        <v>24.5</v>
      </c>
      <c r="L80" s="453">
        <f t="shared" si="98"/>
        <v>48.5</v>
      </c>
      <c r="M80" s="453"/>
      <c r="N80" s="222">
        <f t="shared" si="99"/>
        <v>0.50515463917525771</v>
      </c>
      <c r="O80" s="177">
        <f t="shared" si="143"/>
        <v>5.5668041237113393</v>
      </c>
      <c r="P80" s="177">
        <f t="shared" si="100"/>
        <v>4.1751030927835044</v>
      </c>
      <c r="Q80" s="222">
        <f t="shared" si="101"/>
        <v>0.46390034364261162</v>
      </c>
      <c r="R80" s="222">
        <f t="shared" si="102"/>
        <v>0.46390034364261162</v>
      </c>
      <c r="S80" s="453">
        <f t="shared" si="103"/>
        <v>12</v>
      </c>
      <c r="T80" s="222">
        <f t="shared" si="104"/>
        <v>0.93770139634801308</v>
      </c>
      <c r="U80" s="222">
        <f t="shared" si="105"/>
        <v>3.281954887218046</v>
      </c>
      <c r="V80" s="222">
        <f t="shared" si="106"/>
        <v>3.2149762160503306</v>
      </c>
      <c r="W80" s="202">
        <f t="shared" si="107"/>
        <v>350</v>
      </c>
      <c r="X80" s="453">
        <f t="shared" si="144"/>
        <v>153.91882476588603</v>
      </c>
      <c r="Z80" s="222">
        <f t="shared" si="108"/>
        <v>0.41237113402061859</v>
      </c>
      <c r="AA80" s="178">
        <f t="shared" si="109"/>
        <v>1.4138438880706923</v>
      </c>
      <c r="AB80" s="178">
        <f t="shared" si="110"/>
        <v>0.20405994260814117</v>
      </c>
      <c r="AC80" s="178"/>
      <c r="AD80" s="178">
        <f t="shared" si="111"/>
        <v>0.99428571428571422</v>
      </c>
      <c r="AE80" s="562">
        <f t="shared" si="112"/>
        <v>1040.4280618311539</v>
      </c>
      <c r="AF80" s="545">
        <f t="shared" si="113"/>
        <v>0.10091999999999998</v>
      </c>
      <c r="AH80" s="178">
        <f t="shared" si="114"/>
        <v>0.60609152673132649</v>
      </c>
      <c r="AI80" s="178">
        <f t="shared" si="115"/>
        <v>0.93770139634801308</v>
      </c>
      <c r="AJ80" s="178">
        <f t="shared" si="116"/>
        <v>1.6797788121096393</v>
      </c>
      <c r="AL80" s="562">
        <f t="shared" si="117"/>
        <v>300.00000000000006</v>
      </c>
      <c r="AM80" s="471">
        <f t="shared" si="118"/>
        <v>153.91882476588603</v>
      </c>
      <c r="AO80">
        <f t="shared" si="145"/>
        <v>300.00000000000006</v>
      </c>
      <c r="AP80">
        <f t="shared" si="119"/>
        <v>153.91882476588603</v>
      </c>
      <c r="AR80" s="5">
        <f t="shared" si="146"/>
        <v>6.496931103268377</v>
      </c>
      <c r="AS80" s="5">
        <f t="shared" si="120"/>
        <v>3.281954887218046</v>
      </c>
      <c r="AT80" s="5">
        <f t="shared" si="147"/>
        <v>3.214976216050331</v>
      </c>
      <c r="AU80" s="178">
        <f t="shared" si="148"/>
        <v>0.50515463917525771</v>
      </c>
      <c r="AW80" s="5">
        <f t="shared" si="121"/>
        <v>8.2048872180451156</v>
      </c>
      <c r="AX80" s="5">
        <f t="shared" si="122"/>
        <v>4.1024436090225578</v>
      </c>
      <c r="AY80" s="5">
        <f t="shared" si="123"/>
        <v>0.42302318632241193</v>
      </c>
      <c r="AZ80" s="5"/>
      <c r="BA80" s="178">
        <f t="shared" si="149"/>
        <v>0.3847832054713981</v>
      </c>
      <c r="BB80" s="178">
        <f t="shared" si="124"/>
        <v>0.76167321345791583</v>
      </c>
      <c r="BC80" s="178">
        <f t="shared" si="125"/>
        <v>0.38083660672895792</v>
      </c>
      <c r="BD80" s="178"/>
      <c r="BE80" s="545">
        <f t="shared" si="126"/>
        <v>5.1820340324495458E-2</v>
      </c>
      <c r="BF80" s="545">
        <f t="shared" si="127"/>
        <v>5.2499999999999991E-2</v>
      </c>
      <c r="BG80" s="545">
        <f t="shared" si="128"/>
        <v>1.9239853095735751E-3</v>
      </c>
      <c r="BH80" s="545">
        <f t="shared" si="129"/>
        <v>1.810277777777777E-2</v>
      </c>
      <c r="BI80">
        <f t="shared" si="130"/>
        <v>6.96E-3</v>
      </c>
      <c r="BJ80">
        <f t="shared" si="131"/>
        <v>0.13370792928532521</v>
      </c>
      <c r="BK80" s="471">
        <f t="shared" si="150"/>
        <v>133.70792928532521</v>
      </c>
      <c r="BL80" s="178">
        <f t="shared" si="132"/>
        <v>9.0000000000000011E-2</v>
      </c>
      <c r="BM80" s="178">
        <f t="shared" si="133"/>
        <v>4.5000000000000005E-2</v>
      </c>
      <c r="BN80" s="545"/>
      <c r="BP80" s="471">
        <f t="shared" si="151"/>
        <v>135</v>
      </c>
      <c r="BQ80" s="545">
        <f t="shared" si="134"/>
        <v>1.4065520945220197E-2</v>
      </c>
      <c r="BR80" s="545">
        <f t="shared" si="135"/>
        <v>5.2213147568937697E-2</v>
      </c>
      <c r="BS80" s="545">
        <f t="shared" si="136"/>
        <v>1.4503652102482695E-2</v>
      </c>
      <c r="BT80" s="545">
        <f t="shared" si="137"/>
        <v>1.2512980214660069E-2</v>
      </c>
      <c r="BU80" s="545">
        <f t="shared" si="138"/>
        <v>9.3902151528208189E-2</v>
      </c>
      <c r="BV80" s="655">
        <f t="shared" si="139"/>
        <v>3.0451127819548878E-2</v>
      </c>
      <c r="BW80" s="471">
        <f t="shared" si="152"/>
        <v>124.35327934775707</v>
      </c>
      <c r="BX80" s="178">
        <f t="shared" si="153"/>
        <v>0.3930612086330823</v>
      </c>
      <c r="BY80" s="5">
        <f t="shared" si="154"/>
        <v>5.4</v>
      </c>
      <c r="BZ80" s="178">
        <f t="shared" si="155"/>
        <v>0.93214965378799641</v>
      </c>
      <c r="CA80" s="5">
        <f t="shared" si="156"/>
        <v>93.214965378799647</v>
      </c>
      <c r="CB80">
        <f t="shared" si="157"/>
        <v>75.000000000000014</v>
      </c>
      <c r="CD80" s="580">
        <f t="shared" si="140"/>
        <v>-50</v>
      </c>
      <c r="CE80">
        <f t="shared" si="141"/>
        <v>-50</v>
      </c>
    </row>
    <row r="81" spans="5:83" x14ac:dyDescent="0.2">
      <c r="E81" s="175">
        <v>76</v>
      </c>
      <c r="F81" s="222">
        <f t="shared" si="158"/>
        <v>0.30400000000000005</v>
      </c>
      <c r="G81" s="222">
        <f t="shared" si="142"/>
        <v>0.15200000000000002</v>
      </c>
      <c r="H81" s="222">
        <f t="shared" si="95"/>
        <v>3.6480000000000006</v>
      </c>
      <c r="I81" s="222">
        <f t="shared" si="159"/>
        <v>1.8240000000000003</v>
      </c>
      <c r="J81" s="558">
        <f t="shared" si="96"/>
        <v>24</v>
      </c>
      <c r="K81" s="453">
        <f t="shared" si="97"/>
        <v>24.5</v>
      </c>
      <c r="L81" s="453">
        <f t="shared" si="98"/>
        <v>48.5</v>
      </c>
      <c r="M81" s="453"/>
      <c r="N81" s="222">
        <f t="shared" si="99"/>
        <v>0.50515463917525771</v>
      </c>
      <c r="O81" s="177">
        <f t="shared" si="143"/>
        <v>5.5668041237113393</v>
      </c>
      <c r="P81" s="177">
        <f t="shared" si="100"/>
        <v>4.1751030927835044</v>
      </c>
      <c r="Q81" s="222">
        <f t="shared" si="101"/>
        <v>0.46390034364261162</v>
      </c>
      <c r="R81" s="222">
        <f t="shared" si="102"/>
        <v>0.46390034364261162</v>
      </c>
      <c r="S81" s="453">
        <f t="shared" si="103"/>
        <v>12</v>
      </c>
      <c r="T81" s="222">
        <f t="shared" si="104"/>
        <v>0.95020408163265346</v>
      </c>
      <c r="U81" s="222">
        <f t="shared" si="105"/>
        <v>3.325714285714287</v>
      </c>
      <c r="V81" s="222">
        <f t="shared" si="106"/>
        <v>3.2578425655976693</v>
      </c>
      <c r="W81" s="202">
        <f t="shared" si="107"/>
        <v>350</v>
      </c>
      <c r="X81" s="453">
        <f t="shared" si="144"/>
        <v>151.89357707159806</v>
      </c>
      <c r="Z81" s="222">
        <f t="shared" si="108"/>
        <v>0.41237113402061859</v>
      </c>
      <c r="AA81" s="178">
        <f t="shared" si="109"/>
        <v>1.4138438880706923</v>
      </c>
      <c r="AB81" s="178">
        <f t="shared" si="110"/>
        <v>0.20405994260814117</v>
      </c>
      <c r="AC81" s="178"/>
      <c r="AD81" s="178">
        <f t="shared" si="111"/>
        <v>0.99428571428571422</v>
      </c>
      <c r="AE81" s="562">
        <f t="shared" si="112"/>
        <v>1054.3004359889026</v>
      </c>
      <c r="AF81" s="545">
        <f t="shared" si="113"/>
        <v>0.10091999999999998</v>
      </c>
      <c r="AH81" s="178">
        <f t="shared" si="114"/>
        <v>0.61011875725893217</v>
      </c>
      <c r="AI81" s="178">
        <f t="shared" si="115"/>
        <v>0.95020408163265346</v>
      </c>
      <c r="AJ81" s="178">
        <f t="shared" si="116"/>
        <v>1.6890400604686322</v>
      </c>
      <c r="AL81" s="562">
        <f t="shared" si="117"/>
        <v>304.00000000000006</v>
      </c>
      <c r="AM81" s="471">
        <f t="shared" si="118"/>
        <v>151.89357707159806</v>
      </c>
      <c r="AO81">
        <f t="shared" si="145"/>
        <v>304.00000000000006</v>
      </c>
      <c r="AP81">
        <f t="shared" si="119"/>
        <v>151.89357707159806</v>
      </c>
      <c r="AR81" s="5">
        <f t="shared" si="146"/>
        <v>6.5835568513119558</v>
      </c>
      <c r="AS81" s="5">
        <f t="shared" si="120"/>
        <v>3.325714285714287</v>
      </c>
      <c r="AT81" s="5">
        <f t="shared" si="147"/>
        <v>3.2578425655976688</v>
      </c>
      <c r="AU81" s="178">
        <f t="shared" si="148"/>
        <v>0.50515463917525771</v>
      </c>
      <c r="AW81" s="5">
        <f t="shared" si="121"/>
        <v>8.4251428571428626</v>
      </c>
      <c r="AX81" s="5">
        <f t="shared" si="122"/>
        <v>4.2125714285714313</v>
      </c>
      <c r="AY81" s="5">
        <f t="shared" si="123"/>
        <v>0.43437900874635593</v>
      </c>
      <c r="AZ81" s="5"/>
      <c r="BA81" s="178">
        <f t="shared" si="149"/>
        <v>0.38991364821101687</v>
      </c>
      <c r="BB81" s="178">
        <f t="shared" si="124"/>
        <v>0.77182885630402154</v>
      </c>
      <c r="BC81" s="178">
        <f t="shared" si="125"/>
        <v>0.38591442815201077</v>
      </c>
      <c r="BD81" s="178"/>
      <c r="BE81" s="545">
        <f t="shared" si="126"/>
        <v>5.3211428571428618E-2</v>
      </c>
      <c r="BF81" s="545">
        <f t="shared" si="127"/>
        <v>5.2499999999999998E-2</v>
      </c>
      <c r="BG81" s="545">
        <f t="shared" si="128"/>
        <v>1.8986697133949759E-3</v>
      </c>
      <c r="BH81" s="545">
        <f t="shared" si="129"/>
        <v>1.786458333333333E-2</v>
      </c>
      <c r="BI81">
        <f t="shared" si="130"/>
        <v>6.96E-3</v>
      </c>
      <c r="BJ81">
        <f t="shared" si="131"/>
        <v>0.13492234747962281</v>
      </c>
      <c r="BK81" s="471">
        <f t="shared" si="150"/>
        <v>134.9223474796228</v>
      </c>
      <c r="BL81" s="178">
        <f t="shared" si="132"/>
        <v>9.1200000000000017E-2</v>
      </c>
      <c r="BM81" s="178">
        <f t="shared" si="133"/>
        <v>4.5600000000000009E-2</v>
      </c>
      <c r="BN81" s="545"/>
      <c r="BP81" s="471">
        <f t="shared" si="151"/>
        <v>136.80000000000004</v>
      </c>
      <c r="BQ81" s="545">
        <f t="shared" si="134"/>
        <v>1.4443102040816339E-2</v>
      </c>
      <c r="BR81" s="545">
        <f t="shared" si="135"/>
        <v>5.361478050812165E-2</v>
      </c>
      <c r="BS81" s="545">
        <f t="shared" si="136"/>
        <v>1.4892994585589348E-2</v>
      </c>
      <c r="BT81" s="545">
        <f t="shared" si="137"/>
        <v>1.2512980214660097E-2</v>
      </c>
      <c r="BU81" s="545">
        <f t="shared" si="138"/>
        <v>9.6101594272300542E-2</v>
      </c>
      <c r="BV81" s="655">
        <f t="shared" si="139"/>
        <v>3.0857142857142875E-2</v>
      </c>
      <c r="BW81" s="471">
        <f t="shared" si="152"/>
        <v>126.95873712944342</v>
      </c>
      <c r="BX81" s="178">
        <f t="shared" si="153"/>
        <v>0.39868108460906626</v>
      </c>
      <c r="BY81" s="5">
        <f t="shared" si="154"/>
        <v>5.4720000000000013</v>
      </c>
      <c r="BZ81" s="178">
        <f t="shared" si="155"/>
        <v>0.93208946647531699</v>
      </c>
      <c r="CA81" s="5">
        <f t="shared" si="156"/>
        <v>93.208946647531704</v>
      </c>
      <c r="CB81">
        <f t="shared" si="157"/>
        <v>76.000000000000014</v>
      </c>
      <c r="CD81" s="580">
        <f t="shared" si="140"/>
        <v>-50</v>
      </c>
      <c r="CE81">
        <f t="shared" si="141"/>
        <v>-50</v>
      </c>
    </row>
    <row r="82" spans="5:83" x14ac:dyDescent="0.2">
      <c r="E82" s="175">
        <v>77</v>
      </c>
      <c r="F82" s="222">
        <f t="shared" si="158"/>
        <v>0.30800000000000005</v>
      </c>
      <c r="G82" s="222">
        <f t="shared" si="142"/>
        <v>0.15400000000000003</v>
      </c>
      <c r="H82" s="222">
        <f t="shared" si="95"/>
        <v>3.6960000000000006</v>
      </c>
      <c r="I82" s="222">
        <f t="shared" si="159"/>
        <v>1.8480000000000003</v>
      </c>
      <c r="J82" s="558">
        <f t="shared" si="96"/>
        <v>24</v>
      </c>
      <c r="K82" s="453">
        <f t="shared" si="97"/>
        <v>24.5</v>
      </c>
      <c r="L82" s="453">
        <f t="shared" si="98"/>
        <v>48.5</v>
      </c>
      <c r="M82" s="453"/>
      <c r="N82" s="222">
        <f t="shared" si="99"/>
        <v>0.50515463917525771</v>
      </c>
      <c r="O82" s="177">
        <f t="shared" si="143"/>
        <v>5.5668041237113393</v>
      </c>
      <c r="P82" s="177">
        <f t="shared" si="100"/>
        <v>4.1751030927835044</v>
      </c>
      <c r="Q82" s="222">
        <f t="shared" si="101"/>
        <v>0.46390034364261162</v>
      </c>
      <c r="R82" s="222">
        <f t="shared" si="102"/>
        <v>0.46390034364261162</v>
      </c>
      <c r="S82" s="453">
        <f t="shared" si="103"/>
        <v>12</v>
      </c>
      <c r="T82" s="222">
        <f t="shared" si="104"/>
        <v>0.96270676691729351</v>
      </c>
      <c r="U82" s="222">
        <f t="shared" si="105"/>
        <v>3.3694736842105275</v>
      </c>
      <c r="V82" s="222">
        <f t="shared" si="106"/>
        <v>3.3007089151450062</v>
      </c>
      <c r="W82" s="202">
        <f t="shared" si="107"/>
        <v>350</v>
      </c>
      <c r="X82" s="453">
        <f t="shared" si="144"/>
        <v>149.92093321352536</v>
      </c>
      <c r="Z82" s="222">
        <f t="shared" si="108"/>
        <v>0.41237113402061859</v>
      </c>
      <c r="AA82" s="178">
        <f t="shared" si="109"/>
        <v>1.4138438880706923</v>
      </c>
      <c r="AB82" s="178">
        <f t="shared" si="110"/>
        <v>0.20405994260814117</v>
      </c>
      <c r="AC82" s="178"/>
      <c r="AD82" s="178">
        <f t="shared" si="111"/>
        <v>0.99428571428571422</v>
      </c>
      <c r="AE82" s="562">
        <f t="shared" si="112"/>
        <v>1068.1728101466513</v>
      </c>
      <c r="AF82" s="545">
        <f t="shared" si="113"/>
        <v>0.10091999999999998</v>
      </c>
      <c r="AH82" s="178">
        <f t="shared" si="114"/>
        <v>0.61411957886299084</v>
      </c>
      <c r="AI82" s="178">
        <f t="shared" si="115"/>
        <v>0.96270676691729351</v>
      </c>
      <c r="AJ82" s="178">
        <f t="shared" si="116"/>
        <v>1.6983013088276246</v>
      </c>
      <c r="AL82" s="562">
        <f t="shared" si="117"/>
        <v>308.00000000000006</v>
      </c>
      <c r="AM82" s="471">
        <f t="shared" si="118"/>
        <v>149.92093321352536</v>
      </c>
      <c r="AO82">
        <f t="shared" si="145"/>
        <v>308.00000000000006</v>
      </c>
      <c r="AP82">
        <f t="shared" si="119"/>
        <v>149.92093321352536</v>
      </c>
      <c r="AR82" s="5">
        <f t="shared" si="146"/>
        <v>6.6701825993555346</v>
      </c>
      <c r="AS82" s="5">
        <f t="shared" si="120"/>
        <v>3.3694736842105275</v>
      </c>
      <c r="AT82" s="5">
        <f t="shared" si="147"/>
        <v>3.3007089151450071</v>
      </c>
      <c r="AU82" s="178">
        <f t="shared" si="148"/>
        <v>0.50515463917525771</v>
      </c>
      <c r="AW82" s="5">
        <f t="shared" si="121"/>
        <v>8.6483157894736902</v>
      </c>
      <c r="AX82" s="5">
        <f t="shared" si="122"/>
        <v>4.3241578947368451</v>
      </c>
      <c r="AY82" s="5">
        <f t="shared" si="123"/>
        <v>0.44588523941432556</v>
      </c>
      <c r="AZ82" s="5"/>
      <c r="BA82" s="178">
        <f t="shared" si="149"/>
        <v>0.39504409095063547</v>
      </c>
      <c r="BB82" s="178">
        <f t="shared" si="124"/>
        <v>0.78198449915012702</v>
      </c>
      <c r="BC82" s="178">
        <f t="shared" si="125"/>
        <v>0.39099224957506351</v>
      </c>
      <c r="BD82" s="178"/>
      <c r="BE82" s="545">
        <f t="shared" si="126"/>
        <v>5.4620941828254881E-2</v>
      </c>
      <c r="BF82" s="545">
        <f t="shared" si="127"/>
        <v>5.2499999999999991E-2</v>
      </c>
      <c r="BG82" s="545">
        <f t="shared" si="128"/>
        <v>1.874011665169067E-3</v>
      </c>
      <c r="BH82" s="545">
        <f t="shared" si="129"/>
        <v>1.7632575757575753E-2</v>
      </c>
      <c r="BI82">
        <f t="shared" si="130"/>
        <v>6.96E-3</v>
      </c>
      <c r="BJ82">
        <f t="shared" si="131"/>
        <v>0.13616460179298276</v>
      </c>
      <c r="BK82" s="471">
        <f t="shared" si="150"/>
        <v>136.16460179298275</v>
      </c>
      <c r="BL82" s="178">
        <f t="shared" si="132"/>
        <v>9.240000000000001E-2</v>
      </c>
      <c r="BM82" s="178">
        <f t="shared" si="133"/>
        <v>4.6200000000000005E-2</v>
      </c>
      <c r="BN82" s="545"/>
      <c r="BP82" s="471">
        <f t="shared" si="151"/>
        <v>138.6</v>
      </c>
      <c r="BQ82" s="545">
        <f t="shared" si="134"/>
        <v>1.4825684210526326E-2</v>
      </c>
      <c r="BR82" s="545">
        <f t="shared" si="135"/>
        <v>5.5034978121996751E-2</v>
      </c>
      <c r="BS82" s="545">
        <f t="shared" si="136"/>
        <v>1.5287493922776877E-2</v>
      </c>
      <c r="BT82" s="545">
        <f t="shared" si="137"/>
        <v>1.2512980214660073E-2</v>
      </c>
      <c r="BU82" s="545">
        <f t="shared" si="138"/>
        <v>9.8330952414030628E-2</v>
      </c>
      <c r="BV82" s="655">
        <f t="shared" si="139"/>
        <v>3.1263157894736854E-2</v>
      </c>
      <c r="BW82" s="471">
        <f t="shared" si="152"/>
        <v>129.59411030876748</v>
      </c>
      <c r="BX82" s="178">
        <f t="shared" si="153"/>
        <v>0.40435871210175023</v>
      </c>
      <c r="BY82" s="5">
        <f t="shared" si="154"/>
        <v>5.5440000000000005</v>
      </c>
      <c r="BZ82" s="178">
        <f t="shared" si="155"/>
        <v>0.93202180102570231</v>
      </c>
      <c r="CA82" s="5">
        <f t="shared" si="156"/>
        <v>93.202180102570225</v>
      </c>
      <c r="CB82">
        <f t="shared" si="157"/>
        <v>77.000000000000014</v>
      </c>
      <c r="CD82" s="580">
        <f t="shared" si="140"/>
        <v>-50</v>
      </c>
      <c r="CE82">
        <f t="shared" si="141"/>
        <v>-50</v>
      </c>
    </row>
    <row r="83" spans="5:83" x14ac:dyDescent="0.2">
      <c r="E83" s="175">
        <v>78</v>
      </c>
      <c r="F83" s="222">
        <f t="shared" si="158"/>
        <v>0.31200000000000006</v>
      </c>
      <c r="G83" s="222">
        <f t="shared" si="142"/>
        <v>0.15600000000000003</v>
      </c>
      <c r="H83" s="222">
        <f t="shared" si="95"/>
        <v>3.7440000000000007</v>
      </c>
      <c r="I83" s="222">
        <f t="shared" si="159"/>
        <v>1.8720000000000003</v>
      </c>
      <c r="J83" s="558">
        <f t="shared" si="96"/>
        <v>24</v>
      </c>
      <c r="K83" s="453">
        <f t="shared" si="97"/>
        <v>24.5</v>
      </c>
      <c r="L83" s="453">
        <f t="shared" si="98"/>
        <v>48.5</v>
      </c>
      <c r="M83" s="453"/>
      <c r="N83" s="222">
        <f t="shared" si="99"/>
        <v>0.50515463917525771</v>
      </c>
      <c r="O83" s="177">
        <f t="shared" si="143"/>
        <v>5.5668041237113393</v>
      </c>
      <c r="P83" s="177">
        <f t="shared" si="100"/>
        <v>4.1751030927835044</v>
      </c>
      <c r="Q83" s="222">
        <f t="shared" si="101"/>
        <v>0.46390034364261162</v>
      </c>
      <c r="R83" s="222">
        <f t="shared" si="102"/>
        <v>0.46390034364261162</v>
      </c>
      <c r="S83" s="453">
        <f t="shared" si="103"/>
        <v>12</v>
      </c>
      <c r="T83" s="222">
        <f t="shared" si="104"/>
        <v>0.97520945220193378</v>
      </c>
      <c r="U83" s="222">
        <f t="shared" si="105"/>
        <v>3.4132330827067681</v>
      </c>
      <c r="V83" s="222">
        <f t="shared" si="106"/>
        <v>3.343575264692344</v>
      </c>
      <c r="W83" s="202">
        <f t="shared" si="107"/>
        <v>350</v>
      </c>
      <c r="X83" s="453">
        <f t="shared" si="144"/>
        <v>147.99886996719812</v>
      </c>
      <c r="Z83" s="222">
        <f t="shared" si="108"/>
        <v>0.41237113402061859</v>
      </c>
      <c r="AA83" s="178">
        <f t="shared" si="109"/>
        <v>1.4138438880706923</v>
      </c>
      <c r="AB83" s="178">
        <f t="shared" si="110"/>
        <v>0.20405994260814117</v>
      </c>
      <c r="AC83" s="178"/>
      <c r="AD83" s="178">
        <f t="shared" si="111"/>
        <v>0.99428571428571422</v>
      </c>
      <c r="AE83" s="562">
        <f t="shared" si="112"/>
        <v>1082.0451843044</v>
      </c>
      <c r="AF83" s="545">
        <f t="shared" si="113"/>
        <v>0.10091999999999998</v>
      </c>
      <c r="AH83" s="178">
        <f t="shared" si="114"/>
        <v>0.61809450436525537</v>
      </c>
      <c r="AI83" s="178">
        <f t="shared" si="115"/>
        <v>0.97520945220193378</v>
      </c>
      <c r="AJ83" s="178">
        <f t="shared" si="116"/>
        <v>1.7075625571866175</v>
      </c>
      <c r="AL83" s="562">
        <f t="shared" si="117"/>
        <v>312.00000000000006</v>
      </c>
      <c r="AM83" s="471">
        <f t="shared" si="118"/>
        <v>147.99886996719812</v>
      </c>
      <c r="AO83">
        <f t="shared" si="145"/>
        <v>312.00000000000006</v>
      </c>
      <c r="AP83">
        <f t="shared" si="119"/>
        <v>147.99886996719812</v>
      </c>
      <c r="AR83" s="5">
        <f t="shared" si="146"/>
        <v>6.7568083473991125</v>
      </c>
      <c r="AS83" s="5">
        <f t="shared" si="120"/>
        <v>3.4132330827067681</v>
      </c>
      <c r="AT83" s="5">
        <f t="shared" si="147"/>
        <v>3.3435752646923445</v>
      </c>
      <c r="AU83" s="178">
        <f t="shared" si="148"/>
        <v>0.50515463917525771</v>
      </c>
      <c r="AW83" s="5">
        <f t="shared" si="121"/>
        <v>8.8744060150376001</v>
      </c>
      <c r="AX83" s="5">
        <f t="shared" si="122"/>
        <v>4.4372030075188</v>
      </c>
      <c r="AY83" s="5">
        <f t="shared" si="123"/>
        <v>0.45754187832632076</v>
      </c>
      <c r="AZ83" s="5"/>
      <c r="BA83" s="178">
        <f t="shared" si="149"/>
        <v>0.40017453369025413</v>
      </c>
      <c r="BB83" s="178">
        <f t="shared" si="124"/>
        <v>0.79214014199623262</v>
      </c>
      <c r="BC83" s="178">
        <f t="shared" si="125"/>
        <v>0.39607007099811631</v>
      </c>
      <c r="BD83" s="178"/>
      <c r="BE83" s="545">
        <f t="shared" si="126"/>
        <v>5.6048880094974315E-2</v>
      </c>
      <c r="BF83" s="545">
        <f t="shared" si="127"/>
        <v>5.2499999999999998E-2</v>
      </c>
      <c r="BG83" s="545">
        <f t="shared" si="128"/>
        <v>1.8499858745899763E-3</v>
      </c>
      <c r="BH83" s="545">
        <f t="shared" si="129"/>
        <v>1.7406517094017089E-2</v>
      </c>
      <c r="BI83">
        <f t="shared" si="130"/>
        <v>6.96E-3</v>
      </c>
      <c r="BJ83">
        <f t="shared" si="131"/>
        <v>0.13743448962167917</v>
      </c>
      <c r="BK83" s="471">
        <f t="shared" si="150"/>
        <v>137.43448962167918</v>
      </c>
      <c r="BL83" s="178">
        <f t="shared" si="132"/>
        <v>9.3600000000000017E-2</v>
      </c>
      <c r="BM83" s="178">
        <f t="shared" si="133"/>
        <v>4.6800000000000008E-2</v>
      </c>
      <c r="BN83" s="545"/>
      <c r="BP83" s="471">
        <f t="shared" si="151"/>
        <v>140.40000000000003</v>
      </c>
      <c r="BQ83" s="545">
        <f t="shared" si="134"/>
        <v>1.5213267454350173E-2</v>
      </c>
      <c r="BR83" s="545">
        <f t="shared" si="135"/>
        <v>5.6473740410563043E-2</v>
      </c>
      <c r="BS83" s="545">
        <f t="shared" si="136"/>
        <v>1.5687150114045291E-2</v>
      </c>
      <c r="BT83" s="545">
        <f t="shared" si="137"/>
        <v>1.2512980214660093E-2</v>
      </c>
      <c r="BU83" s="545">
        <f t="shared" si="138"/>
        <v>0.10059025731633069</v>
      </c>
      <c r="BV83" s="655">
        <f t="shared" si="139"/>
        <v>3.1669172932330847E-2</v>
      </c>
      <c r="BW83" s="471">
        <f t="shared" si="152"/>
        <v>132.25943024866154</v>
      </c>
      <c r="BX83" s="178">
        <f t="shared" si="153"/>
        <v>0.41009391987034077</v>
      </c>
      <c r="BY83" s="5">
        <f t="shared" si="154"/>
        <v>5.6160000000000014</v>
      </c>
      <c r="BZ83" s="178">
        <f t="shared" si="155"/>
        <v>0.93194697505159951</v>
      </c>
      <c r="CA83" s="5">
        <f t="shared" si="156"/>
        <v>93.194697505159951</v>
      </c>
      <c r="CB83">
        <f t="shared" si="157"/>
        <v>78.000000000000014</v>
      </c>
      <c r="CD83" s="580">
        <f t="shared" si="140"/>
        <v>-50</v>
      </c>
      <c r="CE83">
        <f t="shared" si="141"/>
        <v>-50</v>
      </c>
    </row>
    <row r="84" spans="5:83" x14ac:dyDescent="0.2">
      <c r="E84" s="175">
        <v>79</v>
      </c>
      <c r="F84" s="222">
        <f t="shared" si="158"/>
        <v>0.31600000000000006</v>
      </c>
      <c r="G84" s="222">
        <f t="shared" si="142"/>
        <v>0.15800000000000003</v>
      </c>
      <c r="H84" s="222">
        <f t="shared" si="95"/>
        <v>3.7920000000000007</v>
      </c>
      <c r="I84" s="222">
        <f t="shared" si="159"/>
        <v>1.8960000000000004</v>
      </c>
      <c r="J84" s="558">
        <f t="shared" si="96"/>
        <v>24</v>
      </c>
      <c r="K84" s="453">
        <f t="shared" si="97"/>
        <v>24.5</v>
      </c>
      <c r="L84" s="453">
        <f t="shared" si="98"/>
        <v>48.5</v>
      </c>
      <c r="M84" s="453"/>
      <c r="N84" s="222">
        <f t="shared" si="99"/>
        <v>0.50515463917525771</v>
      </c>
      <c r="O84" s="177">
        <f t="shared" si="143"/>
        <v>5.5668041237113393</v>
      </c>
      <c r="P84" s="177">
        <f t="shared" si="100"/>
        <v>4.1751030927835044</v>
      </c>
      <c r="Q84" s="222">
        <f t="shared" si="101"/>
        <v>0.46390034364261162</v>
      </c>
      <c r="R84" s="222">
        <f t="shared" si="102"/>
        <v>0.46390034364261162</v>
      </c>
      <c r="S84" s="453">
        <f t="shared" si="103"/>
        <v>12</v>
      </c>
      <c r="T84" s="222">
        <f t="shared" si="104"/>
        <v>0.98771213748657383</v>
      </c>
      <c r="U84" s="222">
        <f t="shared" si="105"/>
        <v>3.4569924812030082</v>
      </c>
      <c r="V84" s="222">
        <f t="shared" si="106"/>
        <v>3.3864416142396818</v>
      </c>
      <c r="W84" s="202">
        <f t="shared" si="107"/>
        <v>350</v>
      </c>
      <c r="X84" s="453">
        <f t="shared" si="144"/>
        <v>146.1254665498918</v>
      </c>
      <c r="Z84" s="222">
        <f t="shared" si="108"/>
        <v>0.41237113402061859</v>
      </c>
      <c r="AA84" s="178">
        <f t="shared" si="109"/>
        <v>1.4138438880706923</v>
      </c>
      <c r="AB84" s="178">
        <f t="shared" si="110"/>
        <v>0.20405994260814117</v>
      </c>
      <c r="AC84" s="178"/>
      <c r="AD84" s="178">
        <f t="shared" si="111"/>
        <v>0.99428571428571422</v>
      </c>
      <c r="AE84" s="562">
        <f t="shared" si="112"/>
        <v>1095.9175584621487</v>
      </c>
      <c r="AF84" s="545">
        <f t="shared" si="113"/>
        <v>0.10091999999999998</v>
      </c>
      <c r="AH84" s="178">
        <f t="shared" si="114"/>
        <v>0.622044030202207</v>
      </c>
      <c r="AI84" s="178">
        <f t="shared" si="115"/>
        <v>0.98771213748657383</v>
      </c>
      <c r="AJ84" s="178">
        <f t="shared" si="116"/>
        <v>1.71682380554561</v>
      </c>
      <c r="AL84" s="562">
        <f t="shared" si="117"/>
        <v>316.00000000000006</v>
      </c>
      <c r="AM84" s="471">
        <f t="shared" si="118"/>
        <v>146.1254665498918</v>
      </c>
      <c r="AO84">
        <f t="shared" si="145"/>
        <v>316.00000000000006</v>
      </c>
      <c r="AP84">
        <f t="shared" si="119"/>
        <v>146.1254665498918</v>
      </c>
      <c r="AR84" s="5">
        <f t="shared" si="146"/>
        <v>6.8434340954426904</v>
      </c>
      <c r="AS84" s="5">
        <f t="shared" si="120"/>
        <v>3.4569924812030082</v>
      </c>
      <c r="AT84" s="5">
        <f t="shared" si="147"/>
        <v>3.3864416142396823</v>
      </c>
      <c r="AU84" s="178">
        <f t="shared" si="148"/>
        <v>0.50515463917525771</v>
      </c>
      <c r="AW84" s="5">
        <f t="shared" si="121"/>
        <v>9.1034135338345905</v>
      </c>
      <c r="AX84" s="5">
        <f t="shared" si="122"/>
        <v>4.5517067669172953</v>
      </c>
      <c r="AY84" s="5">
        <f t="shared" si="123"/>
        <v>0.46934892548234197</v>
      </c>
      <c r="AZ84" s="5"/>
      <c r="BA84" s="178">
        <f t="shared" si="149"/>
        <v>0.40530497642987273</v>
      </c>
      <c r="BB84" s="178">
        <f t="shared" si="124"/>
        <v>0.8022957848423381</v>
      </c>
      <c r="BC84" s="178">
        <f t="shared" si="125"/>
        <v>0.40114789242116905</v>
      </c>
      <c r="BD84" s="178"/>
      <c r="BE84" s="545">
        <f t="shared" si="126"/>
        <v>5.7495243371586881E-2</v>
      </c>
      <c r="BF84" s="545">
        <f t="shared" si="127"/>
        <v>5.2499999999999984E-2</v>
      </c>
      <c r="BG84" s="545">
        <f t="shared" si="128"/>
        <v>1.8265683318736475E-3</v>
      </c>
      <c r="BH84" s="545">
        <f t="shared" si="129"/>
        <v>1.718618143459915E-2</v>
      </c>
      <c r="BI84">
        <f t="shared" si="130"/>
        <v>6.96E-3</v>
      </c>
      <c r="BJ84">
        <f t="shared" si="131"/>
        <v>0.13873182263542191</v>
      </c>
      <c r="BK84" s="471">
        <f t="shared" si="150"/>
        <v>138.73182263542191</v>
      </c>
      <c r="BL84" s="178">
        <f t="shared" si="132"/>
        <v>9.4800000000000009E-2</v>
      </c>
      <c r="BM84" s="178">
        <f t="shared" si="133"/>
        <v>4.7400000000000005E-2</v>
      </c>
      <c r="BN84" s="545"/>
      <c r="BP84" s="471">
        <f t="shared" si="151"/>
        <v>142.20000000000002</v>
      </c>
      <c r="BQ84" s="545">
        <f t="shared" si="134"/>
        <v>1.560585177228787E-2</v>
      </c>
      <c r="BR84" s="545">
        <f t="shared" si="135"/>
        <v>5.7931067373820491E-2</v>
      </c>
      <c r="BS84" s="545">
        <f t="shared" si="136"/>
        <v>1.6091963159394582E-2</v>
      </c>
      <c r="BT84" s="545">
        <f t="shared" si="137"/>
        <v>1.2512980214660054E-2</v>
      </c>
      <c r="BU84" s="545">
        <f t="shared" si="138"/>
        <v>0.10287954078034264</v>
      </c>
      <c r="BV84" s="655">
        <f t="shared" si="139"/>
        <v>3.2075187969924819E-2</v>
      </c>
      <c r="BW84" s="471">
        <f t="shared" si="152"/>
        <v>134.95472875026746</v>
      </c>
      <c r="BX84" s="178">
        <f t="shared" si="153"/>
        <v>0.41588655138568942</v>
      </c>
      <c r="BY84" s="5">
        <f t="shared" si="154"/>
        <v>5.6880000000000006</v>
      </c>
      <c r="BZ84" s="178">
        <f t="shared" si="155"/>
        <v>0.93186528814312974</v>
      </c>
      <c r="CA84" s="5">
        <f t="shared" si="156"/>
        <v>93.186528814312979</v>
      </c>
      <c r="CB84">
        <f t="shared" si="157"/>
        <v>79.000000000000014</v>
      </c>
      <c r="CD84" s="580">
        <f t="shared" si="140"/>
        <v>-50</v>
      </c>
      <c r="CE84">
        <f t="shared" si="141"/>
        <v>-50</v>
      </c>
    </row>
    <row r="85" spans="5:83" x14ac:dyDescent="0.2">
      <c r="E85" s="175">
        <v>80</v>
      </c>
      <c r="F85" s="222">
        <f t="shared" si="158"/>
        <v>0.32000000000000006</v>
      </c>
      <c r="G85" s="222">
        <f t="shared" si="142"/>
        <v>0.16000000000000003</v>
      </c>
      <c r="H85" s="222">
        <f t="shared" si="95"/>
        <v>3.8400000000000007</v>
      </c>
      <c r="I85" s="222">
        <f t="shared" si="159"/>
        <v>1.9200000000000004</v>
      </c>
      <c r="J85" s="558">
        <f t="shared" si="96"/>
        <v>24</v>
      </c>
      <c r="K85" s="453">
        <f t="shared" si="97"/>
        <v>24.5</v>
      </c>
      <c r="L85" s="453">
        <f t="shared" si="98"/>
        <v>48.5</v>
      </c>
      <c r="M85" s="453"/>
      <c r="N85" s="222">
        <f t="shared" si="99"/>
        <v>0.50515463917525771</v>
      </c>
      <c r="O85" s="177">
        <f t="shared" si="143"/>
        <v>5.5668041237113393</v>
      </c>
      <c r="P85" s="177">
        <f t="shared" si="100"/>
        <v>4.1751030927835044</v>
      </c>
      <c r="Q85" s="222">
        <f t="shared" si="101"/>
        <v>0.46390034364261162</v>
      </c>
      <c r="R85" s="222">
        <f t="shared" si="102"/>
        <v>0.46390034364261162</v>
      </c>
      <c r="S85" s="453">
        <f t="shared" si="103"/>
        <v>12</v>
      </c>
      <c r="T85" s="222">
        <f t="shared" si="104"/>
        <v>1.0002148227712142</v>
      </c>
      <c r="U85" s="222">
        <f t="shared" si="105"/>
        <v>3.5007518796992501</v>
      </c>
      <c r="V85" s="222">
        <f t="shared" si="106"/>
        <v>3.4293079637870205</v>
      </c>
      <c r="W85" s="202">
        <f t="shared" si="107"/>
        <v>350</v>
      </c>
      <c r="X85" s="453">
        <f t="shared" si="144"/>
        <v>144.29889821801811</v>
      </c>
      <c r="Z85" s="222">
        <f t="shared" si="108"/>
        <v>0.41237113402061859</v>
      </c>
      <c r="AA85" s="178">
        <f t="shared" si="109"/>
        <v>1.4138438880706923</v>
      </c>
      <c r="AB85" s="178">
        <f t="shared" si="110"/>
        <v>0.20405994260814117</v>
      </c>
      <c r="AC85" s="178"/>
      <c r="AD85" s="178">
        <f t="shared" si="111"/>
        <v>0.99428571428571422</v>
      </c>
      <c r="AE85" s="562">
        <f t="shared" si="112"/>
        <v>1109.7899326198974</v>
      </c>
      <c r="AF85" s="545">
        <f t="shared" si="113"/>
        <v>0.10091999999999998</v>
      </c>
      <c r="AH85" s="178">
        <f t="shared" si="114"/>
        <v>0.62596863714876139</v>
      </c>
      <c r="AI85" s="178">
        <f t="shared" si="115"/>
        <v>1.0002148227712142</v>
      </c>
      <c r="AJ85" s="178">
        <f t="shared" si="116"/>
        <v>1.7260850539046029</v>
      </c>
      <c r="AL85" s="562">
        <f t="shared" si="117"/>
        <v>320.00000000000006</v>
      </c>
      <c r="AM85" s="471">
        <f t="shared" si="118"/>
        <v>144.29889821801811</v>
      </c>
      <c r="AO85">
        <f t="shared" si="145"/>
        <v>320.00000000000006</v>
      </c>
      <c r="AP85">
        <f t="shared" si="119"/>
        <v>144.29889821801811</v>
      </c>
      <c r="AR85" s="5">
        <f t="shared" si="146"/>
        <v>6.9300598434862719</v>
      </c>
      <c r="AS85" s="5">
        <f t="shared" si="120"/>
        <v>3.5007518796992501</v>
      </c>
      <c r="AT85" s="5">
        <f t="shared" si="147"/>
        <v>3.4293079637870219</v>
      </c>
      <c r="AU85" s="178">
        <f t="shared" si="148"/>
        <v>0.5051546391752576</v>
      </c>
      <c r="AW85" s="5">
        <f t="shared" si="121"/>
        <v>9.3353383458646686</v>
      </c>
      <c r="AX85" s="5">
        <f t="shared" si="122"/>
        <v>4.6676691729323343</v>
      </c>
      <c r="AY85" s="5">
        <f t="shared" si="123"/>
        <v>0.48130638088238914</v>
      </c>
      <c r="AZ85" s="5"/>
      <c r="BA85" s="178">
        <f t="shared" si="149"/>
        <v>0.41043541916949139</v>
      </c>
      <c r="BB85" s="178">
        <f t="shared" si="124"/>
        <v>0.81245142768844392</v>
      </c>
      <c r="BC85" s="178">
        <f t="shared" si="125"/>
        <v>0.40622571384422196</v>
      </c>
      <c r="BD85" s="178"/>
      <c r="BE85" s="545">
        <f t="shared" si="126"/>
        <v>5.8960031658092632E-2</v>
      </c>
      <c r="BF85" s="545">
        <f t="shared" si="127"/>
        <v>5.2499999999999991E-2</v>
      </c>
      <c r="BG85" s="545">
        <f t="shared" si="128"/>
        <v>1.8037362277252263E-3</v>
      </c>
      <c r="BH85" s="545">
        <f t="shared" si="129"/>
        <v>1.6971354166666657E-2</v>
      </c>
      <c r="BI85">
        <f t="shared" si="130"/>
        <v>6.96E-3</v>
      </c>
      <c r="BJ85">
        <f t="shared" si="131"/>
        <v>0.14005642595069695</v>
      </c>
      <c r="BK85" s="471">
        <f t="shared" si="150"/>
        <v>140.05642595069696</v>
      </c>
      <c r="BL85" s="178">
        <f t="shared" si="132"/>
        <v>9.6000000000000016E-2</v>
      </c>
      <c r="BM85" s="178">
        <f t="shared" si="133"/>
        <v>4.8000000000000008E-2</v>
      </c>
      <c r="BN85" s="545"/>
      <c r="BP85" s="471">
        <f t="shared" si="151"/>
        <v>144.00000000000003</v>
      </c>
      <c r="BQ85" s="545">
        <f t="shared" si="134"/>
        <v>1.600343716433943E-2</v>
      </c>
      <c r="BR85" s="545">
        <f t="shared" si="135"/>
        <v>5.9406959011769164E-2</v>
      </c>
      <c r="BS85" s="545">
        <f t="shared" si="136"/>
        <v>1.6501933058824771E-2</v>
      </c>
      <c r="BT85" s="545">
        <f t="shared" si="137"/>
        <v>1.2512980214660078E-2</v>
      </c>
      <c r="BU85" s="545">
        <f t="shared" si="138"/>
        <v>0.10519883504654783</v>
      </c>
      <c r="BV85" s="655">
        <f t="shared" si="139"/>
        <v>3.2481203007518805E-2</v>
      </c>
      <c r="BW85" s="471">
        <f t="shared" si="152"/>
        <v>137.68003805406664</v>
      </c>
      <c r="BX85" s="178">
        <f t="shared" si="153"/>
        <v>0.42173646400476361</v>
      </c>
      <c r="BY85" s="5">
        <f t="shared" si="154"/>
        <v>5.7600000000000016</v>
      </c>
      <c r="BZ85" s="178">
        <f t="shared" si="155"/>
        <v>0.93177702309691368</v>
      </c>
      <c r="CA85" s="5">
        <f t="shared" si="156"/>
        <v>93.177702309691369</v>
      </c>
      <c r="CB85">
        <f t="shared" si="157"/>
        <v>80.000000000000014</v>
      </c>
      <c r="CD85" s="580">
        <f t="shared" si="140"/>
        <v>-50</v>
      </c>
      <c r="CE85">
        <f t="shared" si="141"/>
        <v>-50</v>
      </c>
    </row>
    <row r="86" spans="5:83" x14ac:dyDescent="0.2">
      <c r="E86" s="175">
        <v>81</v>
      </c>
      <c r="F86" s="222">
        <f t="shared" si="158"/>
        <v>0.32400000000000007</v>
      </c>
      <c r="G86" s="222">
        <f t="shared" si="142"/>
        <v>0.16200000000000003</v>
      </c>
      <c r="H86" s="222">
        <f t="shared" si="95"/>
        <v>3.8880000000000008</v>
      </c>
      <c r="I86" s="222">
        <f t="shared" si="159"/>
        <v>1.9440000000000004</v>
      </c>
      <c r="J86" s="558">
        <f t="shared" si="96"/>
        <v>24</v>
      </c>
      <c r="K86" s="453">
        <f t="shared" si="97"/>
        <v>24.5</v>
      </c>
      <c r="L86" s="453">
        <f t="shared" si="98"/>
        <v>48.5</v>
      </c>
      <c r="M86" s="453"/>
      <c r="N86" s="222">
        <f t="shared" si="99"/>
        <v>0.50515463917525771</v>
      </c>
      <c r="O86" s="177">
        <f t="shared" si="143"/>
        <v>5.5668041237113393</v>
      </c>
      <c r="P86" s="177">
        <f t="shared" si="100"/>
        <v>4.1751030927835044</v>
      </c>
      <c r="Q86" s="222">
        <f t="shared" si="101"/>
        <v>0.46390034364261162</v>
      </c>
      <c r="R86" s="222">
        <f t="shared" si="102"/>
        <v>0.46390034364261162</v>
      </c>
      <c r="S86" s="453">
        <f t="shared" si="103"/>
        <v>12</v>
      </c>
      <c r="T86" s="222">
        <f t="shared" si="104"/>
        <v>1.0127175080558541</v>
      </c>
      <c r="U86" s="222">
        <f t="shared" si="105"/>
        <v>3.5445112781954893</v>
      </c>
      <c r="V86" s="222">
        <f t="shared" si="106"/>
        <v>3.472174313334357</v>
      </c>
      <c r="W86" s="202">
        <f t="shared" si="107"/>
        <v>350</v>
      </c>
      <c r="X86" s="453">
        <f t="shared" si="144"/>
        <v>142.51743033878338</v>
      </c>
      <c r="Z86" s="222">
        <f t="shared" si="108"/>
        <v>0.41237113402061859</v>
      </c>
      <c r="AA86" s="178">
        <f t="shared" si="109"/>
        <v>1.4138438880706923</v>
      </c>
      <c r="AB86" s="178">
        <f t="shared" si="110"/>
        <v>0.20405994260814117</v>
      </c>
      <c r="AC86" s="178"/>
      <c r="AD86" s="178">
        <f t="shared" si="111"/>
        <v>0.99428571428571422</v>
      </c>
      <c r="AE86" s="562">
        <f t="shared" si="112"/>
        <v>1123.6623067776461</v>
      </c>
      <c r="AF86" s="545">
        <f t="shared" si="113"/>
        <v>0.10091999999999998</v>
      </c>
      <c r="AH86" s="178">
        <f t="shared" si="114"/>
        <v>0.62986879100138871</v>
      </c>
      <c r="AI86" s="178">
        <f t="shared" si="115"/>
        <v>1.0127175080558541</v>
      </c>
      <c r="AJ86" s="178">
        <f t="shared" si="116"/>
        <v>1.7353463022635955</v>
      </c>
      <c r="AL86" s="562">
        <f t="shared" si="117"/>
        <v>324.00000000000006</v>
      </c>
      <c r="AM86" s="471">
        <f t="shared" si="118"/>
        <v>142.51743033878338</v>
      </c>
      <c r="AO86">
        <f t="shared" si="145"/>
        <v>324.00000000000006</v>
      </c>
      <c r="AP86">
        <f t="shared" si="119"/>
        <v>142.51743033878338</v>
      </c>
      <c r="AR86" s="5">
        <f t="shared" si="146"/>
        <v>7.0166855915298472</v>
      </c>
      <c r="AS86" s="5">
        <f t="shared" si="120"/>
        <v>3.5445112781954893</v>
      </c>
      <c r="AT86" s="5">
        <f t="shared" si="147"/>
        <v>3.4721743133343579</v>
      </c>
      <c r="AU86" s="178">
        <f t="shared" si="148"/>
        <v>0.5051546391752576</v>
      </c>
      <c r="AW86" s="5">
        <f t="shared" si="121"/>
        <v>9.5701804511278219</v>
      </c>
      <c r="AX86" s="5">
        <f t="shared" si="122"/>
        <v>4.7850902255639109</v>
      </c>
      <c r="AY86" s="5">
        <f t="shared" si="123"/>
        <v>0.49341424452646138</v>
      </c>
      <c r="AZ86" s="5"/>
      <c r="BA86" s="178">
        <f t="shared" si="149"/>
        <v>0.41556586190910993</v>
      </c>
      <c r="BB86" s="178">
        <f t="shared" si="124"/>
        <v>0.82260707053454929</v>
      </c>
      <c r="BC86" s="178">
        <f t="shared" si="125"/>
        <v>0.41130353526727464</v>
      </c>
      <c r="BD86" s="178"/>
      <c r="BE86" s="545">
        <f t="shared" si="126"/>
        <v>6.04432449544915E-2</v>
      </c>
      <c r="BF86" s="545">
        <f t="shared" si="127"/>
        <v>5.2499999999999998E-2</v>
      </c>
      <c r="BG86" s="545">
        <f t="shared" si="128"/>
        <v>1.7814678792347923E-3</v>
      </c>
      <c r="BH86" s="545">
        <f t="shared" si="129"/>
        <v>1.6761831275720163E-2</v>
      </c>
      <c r="BI86">
        <f t="shared" si="130"/>
        <v>6.96E-3</v>
      </c>
      <c r="BJ86">
        <f t="shared" si="131"/>
        <v>0.14140813736592614</v>
      </c>
      <c r="BK86" s="471">
        <f t="shared" si="150"/>
        <v>141.40813736592614</v>
      </c>
      <c r="BL86" s="178">
        <f t="shared" si="132"/>
        <v>9.7200000000000022E-2</v>
      </c>
      <c r="BM86" s="178">
        <f t="shared" si="133"/>
        <v>4.8600000000000011E-2</v>
      </c>
      <c r="BN86" s="545"/>
      <c r="BP86" s="471">
        <f t="shared" si="151"/>
        <v>145.80000000000004</v>
      </c>
      <c r="BQ86" s="545">
        <f t="shared" si="134"/>
        <v>1.6406023630504838E-2</v>
      </c>
      <c r="BR86" s="545">
        <f t="shared" si="135"/>
        <v>6.0901415324408965E-2</v>
      </c>
      <c r="BS86" s="545">
        <f t="shared" si="136"/>
        <v>1.6917059812335825E-2</v>
      </c>
      <c r="BT86" s="545">
        <f t="shared" si="137"/>
        <v>1.2512980214660062E-2</v>
      </c>
      <c r="BU86" s="545">
        <f t="shared" si="138"/>
        <v>0.10754817279591196</v>
      </c>
      <c r="BV86" s="655">
        <f t="shared" si="139"/>
        <v>3.2887218045112784E-2</v>
      </c>
      <c r="BW86" s="471">
        <f t="shared" si="152"/>
        <v>140.43539084102474</v>
      </c>
      <c r="BX86" s="178">
        <f t="shared" si="153"/>
        <v>0.42764352820695095</v>
      </c>
      <c r="BY86" s="5">
        <f t="shared" si="154"/>
        <v>5.8320000000000007</v>
      </c>
      <c r="BZ86" s="178">
        <f t="shared" si="155"/>
        <v>0.93168244704671743</v>
      </c>
      <c r="CA86" s="5">
        <f t="shared" si="156"/>
        <v>93.16824470467175</v>
      </c>
      <c r="CB86">
        <f t="shared" si="157"/>
        <v>81.000000000000014</v>
      </c>
      <c r="CD86" s="580">
        <f t="shared" si="140"/>
        <v>-50</v>
      </c>
      <c r="CE86">
        <f t="shared" si="141"/>
        <v>-50</v>
      </c>
    </row>
    <row r="87" spans="5:83" x14ac:dyDescent="0.2">
      <c r="E87" s="175">
        <v>82</v>
      </c>
      <c r="F87" s="222">
        <f t="shared" si="158"/>
        <v>0.32800000000000001</v>
      </c>
      <c r="G87" s="222">
        <f t="shared" si="142"/>
        <v>0.16400000000000001</v>
      </c>
      <c r="H87" s="222">
        <f t="shared" si="95"/>
        <v>3.9359999999999999</v>
      </c>
      <c r="I87" s="222">
        <f t="shared" si="159"/>
        <v>1.968</v>
      </c>
      <c r="J87" s="558">
        <f t="shared" si="96"/>
        <v>24</v>
      </c>
      <c r="K87" s="453">
        <f t="shared" si="97"/>
        <v>24.5</v>
      </c>
      <c r="L87" s="453">
        <f t="shared" si="98"/>
        <v>48.5</v>
      </c>
      <c r="M87" s="453"/>
      <c r="N87" s="222">
        <f t="shared" si="99"/>
        <v>0.50515463917525771</v>
      </c>
      <c r="O87" s="177">
        <f t="shared" si="143"/>
        <v>5.5668041237113393</v>
      </c>
      <c r="P87" s="177">
        <f t="shared" si="100"/>
        <v>4.1751030927835044</v>
      </c>
      <c r="Q87" s="222">
        <f t="shared" si="101"/>
        <v>0.46390034364261162</v>
      </c>
      <c r="R87" s="222">
        <f t="shared" si="102"/>
        <v>0.46390034364261162</v>
      </c>
      <c r="S87" s="453">
        <f t="shared" si="103"/>
        <v>12</v>
      </c>
      <c r="T87" s="222">
        <f t="shared" si="104"/>
        <v>1.0252201933404943</v>
      </c>
      <c r="U87" s="222">
        <f t="shared" si="105"/>
        <v>3.5882706766917298</v>
      </c>
      <c r="V87" s="222">
        <f t="shared" si="106"/>
        <v>3.5150406628816944</v>
      </c>
      <c r="W87" s="202">
        <f t="shared" si="107"/>
        <v>350</v>
      </c>
      <c r="X87" s="453">
        <f t="shared" si="144"/>
        <v>140.7794128956275</v>
      </c>
      <c r="Z87" s="222">
        <f t="shared" si="108"/>
        <v>0.41237113402061859</v>
      </c>
      <c r="AA87" s="178">
        <f t="shared" si="109"/>
        <v>1.4138438880706923</v>
      </c>
      <c r="AB87" s="178">
        <f t="shared" si="110"/>
        <v>0.20405994260814117</v>
      </c>
      <c r="AC87" s="178"/>
      <c r="AD87" s="178">
        <f t="shared" si="111"/>
        <v>0.99428571428571422</v>
      </c>
      <c r="AE87" s="562">
        <f t="shared" si="112"/>
        <v>1137.5346809353948</v>
      </c>
      <c r="AF87" s="545">
        <f t="shared" si="113"/>
        <v>0.10091999999999998</v>
      </c>
      <c r="AH87" s="178">
        <f t="shared" si="114"/>
        <v>0.63374494322339525</v>
      </c>
      <c r="AI87" s="178">
        <f t="shared" si="115"/>
        <v>1.0252201933404943</v>
      </c>
      <c r="AJ87" s="178">
        <f t="shared" si="116"/>
        <v>1.7446075506225882</v>
      </c>
      <c r="AL87" s="562">
        <f t="shared" si="117"/>
        <v>328</v>
      </c>
      <c r="AM87" s="471">
        <f t="shared" si="118"/>
        <v>140.7794128956275</v>
      </c>
      <c r="AO87">
        <f t="shared" si="145"/>
        <v>328</v>
      </c>
      <c r="AP87">
        <f t="shared" si="119"/>
        <v>140.7794128956275</v>
      </c>
      <c r="AR87" s="5">
        <f t="shared" si="146"/>
        <v>7.1033113395734242</v>
      </c>
      <c r="AS87" s="5">
        <f t="shared" si="120"/>
        <v>3.5882706766917298</v>
      </c>
      <c r="AT87" s="5">
        <f t="shared" si="147"/>
        <v>3.5150406628816944</v>
      </c>
      <c r="AU87" s="178">
        <f t="shared" si="148"/>
        <v>0.50515463917525771</v>
      </c>
      <c r="AW87" s="5">
        <f t="shared" si="121"/>
        <v>9.8079398496240628</v>
      </c>
      <c r="AX87" s="5">
        <f t="shared" si="122"/>
        <v>4.9039699248120314</v>
      </c>
      <c r="AY87" s="5">
        <f t="shared" si="123"/>
        <v>0.50567251641455957</v>
      </c>
      <c r="AZ87" s="5"/>
      <c r="BA87" s="178">
        <f t="shared" si="149"/>
        <v>0.42069630464872865</v>
      </c>
      <c r="BB87" s="178">
        <f t="shared" si="124"/>
        <v>0.83276271338065466</v>
      </c>
      <c r="BC87" s="178">
        <f t="shared" si="125"/>
        <v>0.41638135669032733</v>
      </c>
      <c r="BD87" s="178"/>
      <c r="BE87" s="545">
        <f t="shared" si="126"/>
        <v>6.1944883260783561E-2</v>
      </c>
      <c r="BF87" s="545">
        <f t="shared" si="127"/>
        <v>5.2499999999999998E-2</v>
      </c>
      <c r="BG87" s="545">
        <f t="shared" si="128"/>
        <v>1.7597426611953438E-3</v>
      </c>
      <c r="BH87" s="545">
        <f t="shared" si="129"/>
        <v>1.655741869918699E-2</v>
      </c>
      <c r="BI87">
        <f t="shared" si="130"/>
        <v>6.96E-3</v>
      </c>
      <c r="BJ87">
        <f t="shared" si="131"/>
        <v>0.1427868066531823</v>
      </c>
      <c r="BK87" s="471">
        <f t="shared" si="150"/>
        <v>142.78680665318231</v>
      </c>
      <c r="BL87" s="178">
        <f t="shared" si="132"/>
        <v>9.8400000000000001E-2</v>
      </c>
      <c r="BM87" s="178">
        <f t="shared" si="133"/>
        <v>4.9200000000000001E-2</v>
      </c>
      <c r="BN87" s="545"/>
      <c r="BP87" s="471">
        <f t="shared" si="151"/>
        <v>147.60000000000002</v>
      </c>
      <c r="BQ87" s="545">
        <f t="shared" si="134"/>
        <v>1.6813611170784112E-2</v>
      </c>
      <c r="BR87" s="545">
        <f t="shared" si="135"/>
        <v>6.2414436311739929E-2</v>
      </c>
      <c r="BS87" s="545">
        <f t="shared" si="136"/>
        <v>1.7337343419927761E-2</v>
      </c>
      <c r="BT87" s="545">
        <f t="shared" si="137"/>
        <v>1.2512980214660078E-2</v>
      </c>
      <c r="BU87" s="545">
        <f t="shared" si="138"/>
        <v>0.10992758715104822</v>
      </c>
      <c r="BV87" s="655">
        <f t="shared" si="139"/>
        <v>3.3293233082706777E-2</v>
      </c>
      <c r="BW87" s="471">
        <f t="shared" si="152"/>
        <v>143.22082023375498</v>
      </c>
      <c r="BX87" s="178">
        <f t="shared" si="153"/>
        <v>0.43360762688693733</v>
      </c>
      <c r="BY87" s="5">
        <f t="shared" si="154"/>
        <v>5.9039999999999999</v>
      </c>
      <c r="BZ87" s="178">
        <f t="shared" si="155"/>
        <v>0.93158181250486671</v>
      </c>
      <c r="CA87" s="5">
        <f t="shared" si="156"/>
        <v>93.158181250486678</v>
      </c>
      <c r="CB87">
        <f t="shared" si="157"/>
        <v>82</v>
      </c>
      <c r="CD87" s="580">
        <f t="shared" si="140"/>
        <v>-50</v>
      </c>
      <c r="CE87">
        <f t="shared" si="141"/>
        <v>-50</v>
      </c>
    </row>
    <row r="88" spans="5:83" x14ac:dyDescent="0.2">
      <c r="E88" s="175">
        <v>83</v>
      </c>
      <c r="F88" s="222">
        <f t="shared" si="158"/>
        <v>0.33200000000000002</v>
      </c>
      <c r="G88" s="222">
        <f t="shared" si="142"/>
        <v>0.16600000000000001</v>
      </c>
      <c r="H88" s="222">
        <f t="shared" si="95"/>
        <v>3.984</v>
      </c>
      <c r="I88" s="222">
        <f t="shared" si="159"/>
        <v>1.992</v>
      </c>
      <c r="J88" s="558">
        <f t="shared" si="96"/>
        <v>24</v>
      </c>
      <c r="K88" s="453">
        <f t="shared" si="97"/>
        <v>24.5</v>
      </c>
      <c r="L88" s="453">
        <f t="shared" si="98"/>
        <v>48.5</v>
      </c>
      <c r="M88" s="453"/>
      <c r="N88" s="222">
        <f t="shared" si="99"/>
        <v>0.50515463917525771</v>
      </c>
      <c r="O88" s="177">
        <f t="shared" si="143"/>
        <v>5.5668041237113393</v>
      </c>
      <c r="P88" s="177">
        <f t="shared" si="100"/>
        <v>4.1751030927835044</v>
      </c>
      <c r="Q88" s="222">
        <f t="shared" si="101"/>
        <v>0.46390034364261162</v>
      </c>
      <c r="R88" s="222">
        <f t="shared" si="102"/>
        <v>0.46390034364261162</v>
      </c>
      <c r="S88" s="453">
        <f t="shared" si="103"/>
        <v>12</v>
      </c>
      <c r="T88" s="222">
        <f t="shared" si="104"/>
        <v>1.0377228786251345</v>
      </c>
      <c r="U88" s="222">
        <f t="shared" si="105"/>
        <v>3.6320300751879708</v>
      </c>
      <c r="V88" s="222">
        <f t="shared" si="106"/>
        <v>3.5579070124290322</v>
      </c>
      <c r="W88" s="202">
        <f t="shared" si="107"/>
        <v>350</v>
      </c>
      <c r="X88" s="453">
        <f t="shared" si="144"/>
        <v>139.0832753908609</v>
      </c>
      <c r="Z88" s="222">
        <f t="shared" si="108"/>
        <v>0.41237113402061859</v>
      </c>
      <c r="AA88" s="178">
        <f t="shared" si="109"/>
        <v>1.4138438880706923</v>
      </c>
      <c r="AB88" s="178">
        <f t="shared" si="110"/>
        <v>0.20405994260814117</v>
      </c>
      <c r="AC88" s="178"/>
      <c r="AD88" s="178">
        <f t="shared" si="111"/>
        <v>0.99428571428571422</v>
      </c>
      <c r="AE88" s="562">
        <f t="shared" si="112"/>
        <v>1151.4070550931433</v>
      </c>
      <c r="AF88" s="545">
        <f t="shared" si="113"/>
        <v>0.10091999999999998</v>
      </c>
      <c r="AH88" s="178">
        <f t="shared" si="114"/>
        <v>0.63759753155489707</v>
      </c>
      <c r="AI88" s="178">
        <f t="shared" si="115"/>
        <v>1.0377228786251345</v>
      </c>
      <c r="AJ88" s="178">
        <f t="shared" si="116"/>
        <v>1.7538687989815811</v>
      </c>
      <c r="AL88" s="562">
        <f t="shared" si="117"/>
        <v>332</v>
      </c>
      <c r="AM88" s="471">
        <f t="shared" si="118"/>
        <v>139.0832753908609</v>
      </c>
      <c r="AO88">
        <f t="shared" si="145"/>
        <v>332</v>
      </c>
      <c r="AP88">
        <f t="shared" si="119"/>
        <v>139.0832753908609</v>
      </c>
      <c r="AR88" s="5">
        <f t="shared" si="146"/>
        <v>7.189937087617003</v>
      </c>
      <c r="AS88" s="5">
        <f t="shared" si="120"/>
        <v>3.6320300751879708</v>
      </c>
      <c r="AT88" s="5">
        <f t="shared" si="147"/>
        <v>3.5579070124290322</v>
      </c>
      <c r="AU88" s="178">
        <f t="shared" si="148"/>
        <v>0.50515463917525771</v>
      </c>
      <c r="AW88" s="5">
        <f t="shared" si="121"/>
        <v>10.048616541353388</v>
      </c>
      <c r="AX88" s="5">
        <f t="shared" si="122"/>
        <v>5.0243082706766939</v>
      </c>
      <c r="AY88" s="5">
        <f t="shared" si="123"/>
        <v>0.5180811965466835</v>
      </c>
      <c r="AZ88" s="5"/>
      <c r="BA88" s="178">
        <f t="shared" si="149"/>
        <v>0.42582674738834725</v>
      </c>
      <c r="BB88" s="178">
        <f t="shared" si="124"/>
        <v>0.84291835622676026</v>
      </c>
      <c r="BC88" s="178">
        <f t="shared" si="125"/>
        <v>0.42145917811338013</v>
      </c>
      <c r="BD88" s="178"/>
      <c r="BE88" s="545">
        <f t="shared" si="126"/>
        <v>6.3464946576968745E-2</v>
      </c>
      <c r="BF88" s="545">
        <f t="shared" si="127"/>
        <v>5.2499999999999998E-2</v>
      </c>
      <c r="BG88" s="545">
        <f t="shared" si="128"/>
        <v>1.7385409423857612E-3</v>
      </c>
      <c r="BH88" s="545">
        <f t="shared" si="129"/>
        <v>1.6357931726907627E-2</v>
      </c>
      <c r="BI88">
        <f t="shared" si="130"/>
        <v>6.96E-3</v>
      </c>
      <c r="BJ88">
        <f t="shared" si="131"/>
        <v>0.14419229490169891</v>
      </c>
      <c r="BK88" s="471">
        <f t="shared" si="150"/>
        <v>144.19229490169892</v>
      </c>
      <c r="BL88" s="178">
        <f t="shared" si="132"/>
        <v>9.9600000000000008E-2</v>
      </c>
      <c r="BM88" s="178">
        <f t="shared" si="133"/>
        <v>4.9800000000000004E-2</v>
      </c>
      <c r="BN88" s="545"/>
      <c r="BP88" s="471">
        <f t="shared" si="151"/>
        <v>149.4</v>
      </c>
      <c r="BQ88" s="545">
        <f t="shared" si="134"/>
        <v>1.7226199785177233E-2</v>
      </c>
      <c r="BR88" s="545">
        <f t="shared" si="135"/>
        <v>6.3946021973762118E-2</v>
      </c>
      <c r="BS88" s="545">
        <f t="shared" si="136"/>
        <v>1.7762783881600588E-2</v>
      </c>
      <c r="BT88" s="545">
        <f t="shared" si="137"/>
        <v>1.2512980214660078E-2</v>
      </c>
      <c r="BU88" s="545">
        <f t="shared" si="138"/>
        <v>0.11233711167739562</v>
      </c>
      <c r="BV88" s="655">
        <f t="shared" si="139"/>
        <v>3.3699248120300763E-2</v>
      </c>
      <c r="BW88" s="471">
        <f t="shared" si="152"/>
        <v>146.03635979769638</v>
      </c>
      <c r="BX88" s="178">
        <f t="shared" si="153"/>
        <v>0.43962865469939533</v>
      </c>
      <c r="BY88" s="5">
        <f t="shared" si="154"/>
        <v>5.976</v>
      </c>
      <c r="BZ88" s="178">
        <f t="shared" si="155"/>
        <v>0.93147535832246608</v>
      </c>
      <c r="CA88" s="5">
        <f t="shared" si="156"/>
        <v>93.147535832246604</v>
      </c>
      <c r="CB88">
        <f t="shared" si="157"/>
        <v>83</v>
      </c>
      <c r="CD88" s="580">
        <f t="shared" si="140"/>
        <v>-50</v>
      </c>
      <c r="CE88">
        <f t="shared" si="141"/>
        <v>-50</v>
      </c>
    </row>
    <row r="89" spans="5:83" x14ac:dyDescent="0.2">
      <c r="E89" s="175">
        <v>84</v>
      </c>
      <c r="F89" s="222">
        <f t="shared" si="158"/>
        <v>0.33600000000000002</v>
      </c>
      <c r="G89" s="222">
        <f t="shared" si="142"/>
        <v>0.16800000000000001</v>
      </c>
      <c r="H89" s="222">
        <f t="shared" si="95"/>
        <v>4.032</v>
      </c>
      <c r="I89" s="222">
        <f t="shared" si="159"/>
        <v>2.016</v>
      </c>
      <c r="J89" s="558">
        <f t="shared" si="96"/>
        <v>24</v>
      </c>
      <c r="K89" s="453">
        <f t="shared" si="97"/>
        <v>24.5</v>
      </c>
      <c r="L89" s="453">
        <f t="shared" si="98"/>
        <v>48.5</v>
      </c>
      <c r="M89" s="453"/>
      <c r="N89" s="222">
        <f t="shared" si="99"/>
        <v>0.50515463917525771</v>
      </c>
      <c r="O89" s="177">
        <f t="shared" si="143"/>
        <v>5.5668041237113393</v>
      </c>
      <c r="P89" s="177">
        <f t="shared" si="100"/>
        <v>4.1751030927835044</v>
      </c>
      <c r="Q89" s="222">
        <f t="shared" si="101"/>
        <v>0.46390034364261162</v>
      </c>
      <c r="R89" s="222">
        <f t="shared" si="102"/>
        <v>0.46390034364261162</v>
      </c>
      <c r="S89" s="453">
        <f t="shared" si="103"/>
        <v>12</v>
      </c>
      <c r="T89" s="222">
        <f t="shared" si="104"/>
        <v>1.0502255639097746</v>
      </c>
      <c r="U89" s="222">
        <f t="shared" si="105"/>
        <v>3.6757894736842105</v>
      </c>
      <c r="V89" s="222">
        <f t="shared" si="106"/>
        <v>3.6007733619763695</v>
      </c>
      <c r="W89" s="202">
        <f t="shared" si="107"/>
        <v>350</v>
      </c>
      <c r="X89" s="453">
        <f t="shared" si="144"/>
        <v>137.42752211239829</v>
      </c>
      <c r="Z89" s="222">
        <f t="shared" si="108"/>
        <v>0.41237113402061859</v>
      </c>
      <c r="AA89" s="178">
        <f t="shared" si="109"/>
        <v>1.4138438880706923</v>
      </c>
      <c r="AB89" s="178">
        <f t="shared" si="110"/>
        <v>0.20405994260814117</v>
      </c>
      <c r="AC89" s="178"/>
      <c r="AD89" s="178">
        <f t="shared" si="111"/>
        <v>0.99428571428571422</v>
      </c>
      <c r="AE89" s="562">
        <f t="shared" si="112"/>
        <v>1165.2794292508922</v>
      </c>
      <c r="AF89" s="545">
        <f t="shared" si="113"/>
        <v>0.10091999999999998</v>
      </c>
      <c r="AH89" s="178">
        <f t="shared" si="114"/>
        <v>0.64142698058981851</v>
      </c>
      <c r="AI89" s="178">
        <f t="shared" si="115"/>
        <v>1.0502255639097746</v>
      </c>
      <c r="AJ89" s="178">
        <f t="shared" si="116"/>
        <v>1.7631300473405735</v>
      </c>
      <c r="AL89" s="562">
        <f t="shared" si="117"/>
        <v>336</v>
      </c>
      <c r="AM89" s="471">
        <f t="shared" si="118"/>
        <v>137.42752211239829</v>
      </c>
      <c r="AO89">
        <f t="shared" si="145"/>
        <v>336</v>
      </c>
      <c r="AP89">
        <f t="shared" si="119"/>
        <v>137.42752211239829</v>
      </c>
      <c r="AR89" s="5">
        <f t="shared" si="146"/>
        <v>7.27656283566058</v>
      </c>
      <c r="AS89" s="5">
        <f t="shared" si="120"/>
        <v>3.6757894736842105</v>
      </c>
      <c r="AT89" s="5">
        <f t="shared" si="147"/>
        <v>3.6007733619763695</v>
      </c>
      <c r="AU89" s="178">
        <f t="shared" si="148"/>
        <v>0.50515463917525771</v>
      </c>
      <c r="AW89" s="5">
        <f t="shared" si="121"/>
        <v>10.292210526315792</v>
      </c>
      <c r="AX89" s="5">
        <f t="shared" si="122"/>
        <v>5.1461052631578958</v>
      </c>
      <c r="AY89" s="5">
        <f t="shared" si="123"/>
        <v>0.53064028492283344</v>
      </c>
      <c r="AZ89" s="5"/>
      <c r="BA89" s="178">
        <f t="shared" si="149"/>
        <v>0.43095719012796591</v>
      </c>
      <c r="BB89" s="178">
        <f t="shared" si="124"/>
        <v>0.85307399907286574</v>
      </c>
      <c r="BC89" s="178">
        <f t="shared" si="125"/>
        <v>0.42653699953643287</v>
      </c>
      <c r="BD89" s="178"/>
      <c r="BE89" s="545">
        <f t="shared" si="126"/>
        <v>6.5003434903047108E-2</v>
      </c>
      <c r="BF89" s="545">
        <f t="shared" si="127"/>
        <v>5.2500000000000005E-2</v>
      </c>
      <c r="BG89" s="545">
        <f t="shared" si="128"/>
        <v>1.7178440264049787E-3</v>
      </c>
      <c r="BH89" s="545">
        <f t="shared" si="129"/>
        <v>1.6163194444444445E-2</v>
      </c>
      <c r="BI89">
        <f t="shared" si="130"/>
        <v>6.96E-3</v>
      </c>
      <c r="BJ89">
        <f t="shared" si="131"/>
        <v>0.14562447390887046</v>
      </c>
      <c r="BK89" s="471">
        <f t="shared" si="150"/>
        <v>145.62447390887044</v>
      </c>
      <c r="BL89" s="178">
        <f t="shared" si="132"/>
        <v>0.1008</v>
      </c>
      <c r="BM89" s="178">
        <f t="shared" si="133"/>
        <v>5.04E-2</v>
      </c>
      <c r="BN89" s="545"/>
      <c r="BP89" s="471">
        <f t="shared" si="151"/>
        <v>151.19999999999999</v>
      </c>
      <c r="BQ89" s="545">
        <f t="shared" si="134"/>
        <v>1.7643789473684217E-2</v>
      </c>
      <c r="BR89" s="545">
        <f t="shared" si="135"/>
        <v>6.5496172310475456E-2</v>
      </c>
      <c r="BS89" s="545">
        <f t="shared" si="136"/>
        <v>1.8193381197354294E-2</v>
      </c>
      <c r="BT89" s="545">
        <f t="shared" si="137"/>
        <v>1.2512980214660087E-2</v>
      </c>
      <c r="BU89" s="545">
        <f t="shared" si="138"/>
        <v>0.11477678038441466</v>
      </c>
      <c r="BV89" s="655">
        <f t="shared" si="139"/>
        <v>3.4105263157894757E-2</v>
      </c>
      <c r="BW89" s="471">
        <f t="shared" si="152"/>
        <v>148.88204354230942</v>
      </c>
      <c r="BX89" s="178">
        <f t="shared" si="153"/>
        <v>0.44570651745117984</v>
      </c>
      <c r="BY89" s="5">
        <f t="shared" si="154"/>
        <v>6.048</v>
      </c>
      <c r="BZ89" s="178">
        <f t="shared" si="155"/>
        <v>0.93136331057564903</v>
      </c>
      <c r="CA89" s="5">
        <f t="shared" si="156"/>
        <v>93.136331057564902</v>
      </c>
      <c r="CB89">
        <f t="shared" si="157"/>
        <v>84</v>
      </c>
      <c r="CD89" s="580">
        <f t="shared" si="140"/>
        <v>-50</v>
      </c>
      <c r="CE89">
        <f t="shared" si="141"/>
        <v>-50</v>
      </c>
    </row>
    <row r="90" spans="5:83" x14ac:dyDescent="0.2">
      <c r="E90" s="175">
        <v>85</v>
      </c>
      <c r="F90" s="222">
        <f t="shared" si="158"/>
        <v>0.34</v>
      </c>
      <c r="G90" s="222">
        <f t="shared" si="142"/>
        <v>0.17</v>
      </c>
      <c r="H90" s="222">
        <f t="shared" si="95"/>
        <v>4.08</v>
      </c>
      <c r="I90" s="222">
        <f t="shared" si="159"/>
        <v>2.04</v>
      </c>
      <c r="J90" s="558">
        <f t="shared" si="96"/>
        <v>24</v>
      </c>
      <c r="K90" s="453">
        <f t="shared" si="97"/>
        <v>24.5</v>
      </c>
      <c r="L90" s="453">
        <f t="shared" si="98"/>
        <v>48.5</v>
      </c>
      <c r="M90" s="453"/>
      <c r="N90" s="222">
        <f t="shared" si="99"/>
        <v>0.50515463917525771</v>
      </c>
      <c r="O90" s="177">
        <f t="shared" si="143"/>
        <v>5.5668041237113393</v>
      </c>
      <c r="P90" s="177">
        <f t="shared" si="100"/>
        <v>4.1751030927835044</v>
      </c>
      <c r="Q90" s="222">
        <f t="shared" si="101"/>
        <v>0.46390034364261162</v>
      </c>
      <c r="R90" s="222">
        <f t="shared" si="102"/>
        <v>0.46390034364261162</v>
      </c>
      <c r="S90" s="453">
        <f t="shared" si="103"/>
        <v>12</v>
      </c>
      <c r="T90" s="222">
        <f t="shared" si="104"/>
        <v>1.0627282491944148</v>
      </c>
      <c r="U90" s="222">
        <f t="shared" si="105"/>
        <v>3.7195488721804515</v>
      </c>
      <c r="V90" s="222">
        <f t="shared" si="106"/>
        <v>3.6436397115237078</v>
      </c>
      <c r="W90" s="202">
        <f t="shared" si="107"/>
        <v>350</v>
      </c>
      <c r="X90" s="453">
        <f t="shared" si="144"/>
        <v>135.81072773460534</v>
      </c>
      <c r="Z90" s="222">
        <f t="shared" si="108"/>
        <v>0.41237113402061859</v>
      </c>
      <c r="AA90" s="178">
        <f t="shared" si="109"/>
        <v>1.4138438880706923</v>
      </c>
      <c r="AB90" s="178">
        <f t="shared" si="110"/>
        <v>0.20405994260814117</v>
      </c>
      <c r="AC90" s="178"/>
      <c r="AD90" s="178">
        <f t="shared" si="111"/>
        <v>0.99428571428571422</v>
      </c>
      <c r="AE90" s="562">
        <f t="shared" si="112"/>
        <v>1179.1518034086409</v>
      </c>
      <c r="AF90" s="545">
        <f t="shared" si="113"/>
        <v>0.10091999999999998</v>
      </c>
      <c r="AH90" s="178">
        <f t="shared" si="114"/>
        <v>0.64523370232206945</v>
      </c>
      <c r="AI90" s="178">
        <f t="shared" si="115"/>
        <v>1.0627282491944148</v>
      </c>
      <c r="AJ90" s="178">
        <f t="shared" si="116"/>
        <v>1.7723912956995664</v>
      </c>
      <c r="AL90" s="562">
        <f t="shared" si="117"/>
        <v>340</v>
      </c>
      <c r="AM90" s="471">
        <f t="shared" si="118"/>
        <v>135.81072773460534</v>
      </c>
      <c r="AO90">
        <f t="shared" si="145"/>
        <v>340</v>
      </c>
      <c r="AP90">
        <f t="shared" si="119"/>
        <v>135.81072773460534</v>
      </c>
      <c r="AR90" s="5">
        <f t="shared" si="146"/>
        <v>7.3631885837041606</v>
      </c>
      <c r="AS90" s="5">
        <f t="shared" si="120"/>
        <v>3.7195488721804515</v>
      </c>
      <c r="AT90" s="5">
        <f t="shared" si="147"/>
        <v>3.6436397115237091</v>
      </c>
      <c r="AU90" s="178">
        <f t="shared" si="148"/>
        <v>0.5051546391752576</v>
      </c>
      <c r="AW90" s="5">
        <f t="shared" si="121"/>
        <v>10.538721804511281</v>
      </c>
      <c r="AX90" s="5">
        <f t="shared" si="122"/>
        <v>5.2693609022556407</v>
      </c>
      <c r="AY90" s="5">
        <f t="shared" si="123"/>
        <v>0.54334978154300917</v>
      </c>
      <c r="AZ90" s="5"/>
      <c r="BA90" s="178">
        <f t="shared" si="149"/>
        <v>0.43608763286758445</v>
      </c>
      <c r="BB90" s="178">
        <f t="shared" si="124"/>
        <v>0.86322964191897145</v>
      </c>
      <c r="BC90" s="178">
        <f t="shared" si="125"/>
        <v>0.43161482095948572</v>
      </c>
      <c r="BD90" s="178"/>
      <c r="BE90" s="545">
        <f t="shared" si="126"/>
        <v>6.6560348239018588E-2</v>
      </c>
      <c r="BF90" s="545">
        <f t="shared" si="127"/>
        <v>5.2499999999999998E-2</v>
      </c>
      <c r="BG90" s="545">
        <f t="shared" si="128"/>
        <v>1.6976340966825666E-3</v>
      </c>
      <c r="BH90" s="545">
        <f t="shared" si="129"/>
        <v>1.5973039215686272E-2</v>
      </c>
      <c r="BI90">
        <f t="shared" si="130"/>
        <v>6.96E-3</v>
      </c>
      <c r="BJ90">
        <f t="shared" si="131"/>
        <v>0.14708322561484249</v>
      </c>
      <c r="BK90" s="471">
        <f t="shared" si="150"/>
        <v>147.08322561484249</v>
      </c>
      <c r="BL90" s="178">
        <f t="shared" si="132"/>
        <v>0.10200000000000001</v>
      </c>
      <c r="BM90" s="178">
        <f t="shared" si="133"/>
        <v>5.1000000000000004E-2</v>
      </c>
      <c r="BN90" s="545"/>
      <c r="BP90" s="471">
        <f t="shared" si="151"/>
        <v>153.00000000000003</v>
      </c>
      <c r="BQ90" s="545">
        <f t="shared" si="134"/>
        <v>1.8066380236305048E-2</v>
      </c>
      <c r="BR90" s="545">
        <f t="shared" si="135"/>
        <v>6.7064887321880012E-2</v>
      </c>
      <c r="BS90" s="545">
        <f t="shared" si="136"/>
        <v>1.8629135367188892E-2</v>
      </c>
      <c r="BT90" s="545">
        <f t="shared" si="137"/>
        <v>1.2512980214660081E-2</v>
      </c>
      <c r="BU90" s="545">
        <f t="shared" si="138"/>
        <v>0.11724662772679997</v>
      </c>
      <c r="BV90" s="655">
        <f t="shared" si="139"/>
        <v>3.4511278195488729E-2</v>
      </c>
      <c r="BW90" s="471">
        <f t="shared" si="152"/>
        <v>151.75790592228873</v>
      </c>
      <c r="BX90" s="178">
        <f t="shared" si="153"/>
        <v>0.45184113153713124</v>
      </c>
      <c r="BY90" s="5">
        <f t="shared" si="154"/>
        <v>6.12</v>
      </c>
      <c r="BZ90" s="178">
        <f t="shared" si="155"/>
        <v>0.93124588338436487</v>
      </c>
      <c r="CA90" s="5">
        <f t="shared" si="156"/>
        <v>93.124588338436482</v>
      </c>
      <c r="CB90">
        <f t="shared" si="157"/>
        <v>85</v>
      </c>
      <c r="CD90" s="580">
        <f t="shared" si="140"/>
        <v>-50</v>
      </c>
      <c r="CE90">
        <f t="shared" si="141"/>
        <v>-50</v>
      </c>
    </row>
    <row r="91" spans="5:83" x14ac:dyDescent="0.2">
      <c r="E91" s="175">
        <v>86</v>
      </c>
      <c r="F91" s="222">
        <f t="shared" si="158"/>
        <v>0.34400000000000003</v>
      </c>
      <c r="G91" s="222">
        <f t="shared" si="142"/>
        <v>0.17200000000000001</v>
      </c>
      <c r="H91" s="222">
        <f t="shared" si="95"/>
        <v>4.1280000000000001</v>
      </c>
      <c r="I91" s="222">
        <f t="shared" si="159"/>
        <v>2.0640000000000001</v>
      </c>
      <c r="J91" s="558">
        <f t="shared" si="96"/>
        <v>24</v>
      </c>
      <c r="K91" s="453">
        <f t="shared" si="97"/>
        <v>24.5</v>
      </c>
      <c r="L91" s="453">
        <f t="shared" si="98"/>
        <v>48.5</v>
      </c>
      <c r="M91" s="453"/>
      <c r="N91" s="222">
        <f t="shared" si="99"/>
        <v>0.50515463917525771</v>
      </c>
      <c r="O91" s="177">
        <f t="shared" si="143"/>
        <v>5.5668041237113393</v>
      </c>
      <c r="P91" s="177">
        <f t="shared" si="100"/>
        <v>4.1751030927835044</v>
      </c>
      <c r="Q91" s="222">
        <f t="shared" si="101"/>
        <v>0.46390034364261162</v>
      </c>
      <c r="R91" s="222">
        <f t="shared" si="102"/>
        <v>0.46390034364261162</v>
      </c>
      <c r="S91" s="453">
        <f t="shared" si="103"/>
        <v>12</v>
      </c>
      <c r="T91" s="222">
        <f t="shared" si="104"/>
        <v>1.0752309344790549</v>
      </c>
      <c r="U91" s="222">
        <f t="shared" si="105"/>
        <v>3.763308270676692</v>
      </c>
      <c r="V91" s="222">
        <f t="shared" si="106"/>
        <v>3.6865060610710447</v>
      </c>
      <c r="W91" s="202">
        <f t="shared" si="107"/>
        <v>350</v>
      </c>
      <c r="X91" s="453">
        <f t="shared" si="144"/>
        <v>134.23153322606345</v>
      </c>
      <c r="Z91" s="222">
        <f t="shared" si="108"/>
        <v>0.41237113402061859</v>
      </c>
      <c r="AA91" s="178">
        <f t="shared" si="109"/>
        <v>1.4138438880706923</v>
      </c>
      <c r="AB91" s="178">
        <f t="shared" si="110"/>
        <v>0.20405994260814117</v>
      </c>
      <c r="AC91" s="178"/>
      <c r="AD91" s="178">
        <f t="shared" si="111"/>
        <v>0.99428571428571422</v>
      </c>
      <c r="AE91" s="562">
        <f t="shared" si="112"/>
        <v>1193.0241775663897</v>
      </c>
      <c r="AF91" s="545">
        <f t="shared" si="113"/>
        <v>0.10091999999999998</v>
      </c>
      <c r="AH91" s="178">
        <f t="shared" si="114"/>
        <v>0.64901809666288846</v>
      </c>
      <c r="AI91" s="178">
        <f t="shared" si="115"/>
        <v>1.0752309344790549</v>
      </c>
      <c r="AJ91" s="178">
        <f t="shared" si="116"/>
        <v>1.7816525440585591</v>
      </c>
      <c r="AL91" s="562">
        <f t="shared" si="117"/>
        <v>344</v>
      </c>
      <c r="AM91" s="471">
        <f t="shared" si="118"/>
        <v>134.23153322606345</v>
      </c>
      <c r="AO91">
        <f t="shared" si="145"/>
        <v>344</v>
      </c>
      <c r="AP91">
        <f t="shared" si="119"/>
        <v>134.23153322606345</v>
      </c>
      <c r="AR91" s="5">
        <f t="shared" si="146"/>
        <v>7.4498143317477368</v>
      </c>
      <c r="AS91" s="5">
        <f t="shared" si="120"/>
        <v>3.763308270676692</v>
      </c>
      <c r="AT91" s="5">
        <f t="shared" si="147"/>
        <v>3.6865060610710447</v>
      </c>
      <c r="AU91" s="178">
        <f t="shared" si="148"/>
        <v>0.50515463917525771</v>
      </c>
      <c r="AW91" s="5">
        <f t="shared" si="121"/>
        <v>10.788150375939852</v>
      </c>
      <c r="AX91" s="5">
        <f t="shared" si="122"/>
        <v>5.3940751879699258</v>
      </c>
      <c r="AY91" s="5">
        <f t="shared" si="123"/>
        <v>0.55620968640721025</v>
      </c>
      <c r="AZ91" s="5"/>
      <c r="BA91" s="178">
        <f t="shared" si="149"/>
        <v>0.44121807560720316</v>
      </c>
      <c r="BB91" s="178">
        <f t="shared" si="124"/>
        <v>0.87338528476507682</v>
      </c>
      <c r="BC91" s="178">
        <f t="shared" si="125"/>
        <v>0.43669264238253841</v>
      </c>
      <c r="BD91" s="178"/>
      <c r="BE91" s="545">
        <f t="shared" si="126"/>
        <v>6.8135686584883268E-2</v>
      </c>
      <c r="BF91" s="545">
        <f t="shared" si="127"/>
        <v>5.2500000000000005E-2</v>
      </c>
      <c r="BG91" s="545">
        <f t="shared" si="128"/>
        <v>1.6778941653257931E-3</v>
      </c>
      <c r="BH91" s="545">
        <f t="shared" si="129"/>
        <v>1.5787306201550388E-2</v>
      </c>
      <c r="BI91">
        <f t="shared" si="130"/>
        <v>6.96E-3</v>
      </c>
      <c r="BJ91">
        <f t="shared" si="131"/>
        <v>0.14856844157715543</v>
      </c>
      <c r="BK91" s="471">
        <f t="shared" si="150"/>
        <v>148.56844157715543</v>
      </c>
      <c r="BL91" s="178">
        <f t="shared" si="132"/>
        <v>0.1032</v>
      </c>
      <c r="BM91" s="178">
        <f t="shared" si="133"/>
        <v>5.16E-2</v>
      </c>
      <c r="BN91" s="545"/>
      <c r="BP91" s="471">
        <f t="shared" si="151"/>
        <v>154.79999999999998</v>
      </c>
      <c r="BQ91" s="545">
        <f t="shared" si="134"/>
        <v>1.8493972073039745E-2</v>
      </c>
      <c r="BR91" s="545">
        <f t="shared" si="135"/>
        <v>6.865216700797569E-2</v>
      </c>
      <c r="BS91" s="545">
        <f t="shared" si="136"/>
        <v>1.9070046391104361E-2</v>
      </c>
      <c r="BT91" s="545">
        <f t="shared" si="137"/>
        <v>1.2512980214660078E-2</v>
      </c>
      <c r="BU91" s="545">
        <f t="shared" si="138"/>
        <v>0.11974668860570917</v>
      </c>
      <c r="BV91" s="655">
        <f t="shared" si="139"/>
        <v>3.4917293233082715E-2</v>
      </c>
      <c r="BW91" s="471">
        <f t="shared" si="152"/>
        <v>154.66398183879187</v>
      </c>
      <c r="BX91" s="178">
        <f t="shared" si="153"/>
        <v>0.45803242341594735</v>
      </c>
      <c r="BY91" s="5">
        <f t="shared" si="154"/>
        <v>6.1920000000000002</v>
      </c>
      <c r="BZ91" s="178">
        <f t="shared" si="155"/>
        <v>0.93112327966956476</v>
      </c>
      <c r="CA91" s="5">
        <f t="shared" si="156"/>
        <v>93.112327966956471</v>
      </c>
      <c r="CB91">
        <f t="shared" si="157"/>
        <v>86</v>
      </c>
      <c r="CD91" s="580">
        <f t="shared" si="140"/>
        <v>-50</v>
      </c>
      <c r="CE91">
        <f t="shared" si="141"/>
        <v>-50</v>
      </c>
    </row>
    <row r="92" spans="5:83" x14ac:dyDescent="0.2">
      <c r="E92" s="175">
        <v>87</v>
      </c>
      <c r="F92" s="222">
        <f t="shared" si="158"/>
        <v>0.34800000000000003</v>
      </c>
      <c r="G92" s="222">
        <f t="shared" si="142"/>
        <v>0.17400000000000002</v>
      </c>
      <c r="H92" s="222">
        <f t="shared" si="95"/>
        <v>4.1760000000000002</v>
      </c>
      <c r="I92" s="222">
        <f t="shared" si="159"/>
        <v>2.0880000000000001</v>
      </c>
      <c r="J92" s="558">
        <f t="shared" si="96"/>
        <v>24</v>
      </c>
      <c r="K92" s="453">
        <f t="shared" si="97"/>
        <v>24.5</v>
      </c>
      <c r="L92" s="453">
        <f t="shared" si="98"/>
        <v>48.5</v>
      </c>
      <c r="M92" s="453"/>
      <c r="N92" s="222">
        <f t="shared" si="99"/>
        <v>0.50515463917525771</v>
      </c>
      <c r="O92" s="177">
        <f t="shared" si="143"/>
        <v>5.5668041237113393</v>
      </c>
      <c r="P92" s="177">
        <f t="shared" si="100"/>
        <v>4.1751030927835044</v>
      </c>
      <c r="Q92" s="222">
        <f t="shared" si="101"/>
        <v>0.46390034364261162</v>
      </c>
      <c r="R92" s="222">
        <f t="shared" si="102"/>
        <v>0.46390034364261162</v>
      </c>
      <c r="S92" s="453">
        <f t="shared" si="103"/>
        <v>12</v>
      </c>
      <c r="T92" s="222">
        <f t="shared" si="104"/>
        <v>1.0877336197636951</v>
      </c>
      <c r="U92" s="222">
        <f t="shared" si="105"/>
        <v>3.8070676691729326</v>
      </c>
      <c r="V92" s="222">
        <f t="shared" si="106"/>
        <v>3.729372410618383</v>
      </c>
      <c r="W92" s="202">
        <f t="shared" si="107"/>
        <v>350</v>
      </c>
      <c r="X92" s="453">
        <f t="shared" si="144"/>
        <v>132.68864203955695</v>
      </c>
      <c r="Z92" s="222">
        <f t="shared" si="108"/>
        <v>0.41237113402061859</v>
      </c>
      <c r="AA92" s="178">
        <f t="shared" si="109"/>
        <v>1.4138438880706923</v>
      </c>
      <c r="AB92" s="178">
        <f t="shared" si="110"/>
        <v>0.20405994260814117</v>
      </c>
      <c r="AC92" s="178"/>
      <c r="AD92" s="178">
        <f t="shared" si="111"/>
        <v>0.99428571428571422</v>
      </c>
      <c r="AE92" s="562">
        <f t="shared" si="112"/>
        <v>1206.8965517241384</v>
      </c>
      <c r="AF92" s="545">
        <f t="shared" si="113"/>
        <v>0.10091999999999998</v>
      </c>
      <c r="AH92" s="178">
        <f t="shared" si="114"/>
        <v>0.65278055193119222</v>
      </c>
      <c r="AI92" s="178">
        <f t="shared" si="115"/>
        <v>1.0877336197636951</v>
      </c>
      <c r="AJ92" s="178">
        <f t="shared" si="116"/>
        <v>1.7909137924175518</v>
      </c>
      <c r="AL92" s="562">
        <f t="shared" si="117"/>
        <v>348.00000000000006</v>
      </c>
      <c r="AM92" s="471">
        <f t="shared" si="118"/>
        <v>132.68864203955695</v>
      </c>
      <c r="AO92">
        <f t="shared" si="145"/>
        <v>348.00000000000006</v>
      </c>
      <c r="AP92">
        <f t="shared" si="119"/>
        <v>132.68864203955695</v>
      </c>
      <c r="AR92" s="5">
        <f t="shared" si="146"/>
        <v>7.5364400797913165</v>
      </c>
      <c r="AS92" s="5">
        <f t="shared" si="120"/>
        <v>3.8070676691729326</v>
      </c>
      <c r="AT92" s="5">
        <f t="shared" si="147"/>
        <v>3.7293724106183839</v>
      </c>
      <c r="AU92" s="178">
        <f t="shared" si="148"/>
        <v>0.50515463917525771</v>
      </c>
      <c r="AW92" s="5">
        <f t="shared" si="121"/>
        <v>11.040496240601504</v>
      </c>
      <c r="AX92" s="5">
        <f t="shared" si="122"/>
        <v>5.5202481203007521</v>
      </c>
      <c r="AY92" s="5">
        <f t="shared" si="123"/>
        <v>0.56921999951543745</v>
      </c>
      <c r="AZ92" s="5"/>
      <c r="BA92" s="178">
        <f t="shared" si="149"/>
        <v>0.44634851834682182</v>
      </c>
      <c r="BB92" s="178">
        <f t="shared" si="124"/>
        <v>0.8835409276111823</v>
      </c>
      <c r="BC92" s="178">
        <f t="shared" si="125"/>
        <v>0.44177046380559115</v>
      </c>
      <c r="BD92" s="178"/>
      <c r="BE92" s="545">
        <f t="shared" si="126"/>
        <v>6.9729449940641092E-2</v>
      </c>
      <c r="BF92" s="545">
        <f t="shared" si="127"/>
        <v>5.2499999999999998E-2</v>
      </c>
      <c r="BG92" s="545">
        <f t="shared" si="128"/>
        <v>1.658608025494462E-3</v>
      </c>
      <c r="BH92" s="545">
        <f t="shared" si="129"/>
        <v>1.5605842911877393E-2</v>
      </c>
      <c r="BI92">
        <f t="shared" si="130"/>
        <v>6.96E-3</v>
      </c>
      <c r="BJ92">
        <f t="shared" si="131"/>
        <v>0.15008002248222899</v>
      </c>
      <c r="BK92" s="471">
        <f t="shared" si="150"/>
        <v>150.080022482229</v>
      </c>
      <c r="BL92" s="178">
        <f t="shared" si="132"/>
        <v>0.10440000000000001</v>
      </c>
      <c r="BM92" s="178">
        <f t="shared" si="133"/>
        <v>5.2200000000000003E-2</v>
      </c>
      <c r="BN92" s="545"/>
      <c r="BP92" s="471">
        <f t="shared" si="151"/>
        <v>156.60000000000002</v>
      </c>
      <c r="BQ92" s="545">
        <f t="shared" si="134"/>
        <v>1.8926564983888297E-2</v>
      </c>
      <c r="BR92" s="545">
        <f t="shared" si="135"/>
        <v>7.0258011368762557E-2</v>
      </c>
      <c r="BS92" s="545">
        <f t="shared" si="136"/>
        <v>1.9516114269100715E-2</v>
      </c>
      <c r="BT92" s="545">
        <f t="shared" si="137"/>
        <v>1.2512980214660088E-2</v>
      </c>
      <c r="BU92" s="545">
        <f t="shared" si="138"/>
        <v>0.12227699837000965</v>
      </c>
      <c r="BV92" s="655">
        <f t="shared" si="139"/>
        <v>3.5323308270676701E-2</v>
      </c>
      <c r="BW92" s="471">
        <f t="shared" si="152"/>
        <v>157.60030664068637</v>
      </c>
      <c r="BX92" s="178">
        <f t="shared" si="153"/>
        <v>0.46428032912291539</v>
      </c>
      <c r="BY92" s="5">
        <f t="shared" si="154"/>
        <v>6.2640000000000002</v>
      </c>
      <c r="BZ92" s="178">
        <f t="shared" si="155"/>
        <v>0.93099569185408215</v>
      </c>
      <c r="CA92" s="5">
        <f t="shared" si="156"/>
        <v>93.099569185408214</v>
      </c>
      <c r="CB92">
        <f t="shared" si="157"/>
        <v>87</v>
      </c>
      <c r="CD92" s="580">
        <f t="shared" si="140"/>
        <v>-50</v>
      </c>
      <c r="CE92">
        <f t="shared" si="141"/>
        <v>-50</v>
      </c>
    </row>
    <row r="93" spans="5:83" x14ac:dyDescent="0.2">
      <c r="E93" s="175">
        <v>88</v>
      </c>
      <c r="F93" s="222">
        <f t="shared" si="158"/>
        <v>0.35200000000000004</v>
      </c>
      <c r="G93" s="222">
        <f t="shared" si="142"/>
        <v>0.17600000000000002</v>
      </c>
      <c r="H93" s="222">
        <f t="shared" si="95"/>
        <v>4.2240000000000002</v>
      </c>
      <c r="I93" s="222">
        <f t="shared" si="159"/>
        <v>2.1120000000000001</v>
      </c>
      <c r="J93" s="558">
        <f t="shared" si="96"/>
        <v>24</v>
      </c>
      <c r="K93" s="453">
        <f t="shared" si="97"/>
        <v>24.5</v>
      </c>
      <c r="L93" s="453">
        <f t="shared" si="98"/>
        <v>48.5</v>
      </c>
      <c r="M93" s="453"/>
      <c r="N93" s="222">
        <f t="shared" si="99"/>
        <v>0.50515463917525771</v>
      </c>
      <c r="O93" s="177">
        <f t="shared" si="143"/>
        <v>5.5668041237113393</v>
      </c>
      <c r="P93" s="177">
        <f t="shared" si="100"/>
        <v>4.1751030927835044</v>
      </c>
      <c r="Q93" s="222">
        <f t="shared" si="101"/>
        <v>0.46390034364261162</v>
      </c>
      <c r="R93" s="222">
        <f t="shared" si="102"/>
        <v>0.46390034364261162</v>
      </c>
      <c r="S93" s="453">
        <f t="shared" si="103"/>
        <v>12</v>
      </c>
      <c r="T93" s="222">
        <f t="shared" si="104"/>
        <v>1.1002363050483353</v>
      </c>
      <c r="U93" s="222">
        <f t="shared" si="105"/>
        <v>3.8508270676691727</v>
      </c>
      <c r="V93" s="222">
        <f t="shared" si="106"/>
        <v>3.7722387601657204</v>
      </c>
      <c r="W93" s="202">
        <f t="shared" si="107"/>
        <v>350</v>
      </c>
      <c r="X93" s="453">
        <f t="shared" si="144"/>
        <v>131.18081656183475</v>
      </c>
      <c r="Z93" s="222">
        <f t="shared" si="108"/>
        <v>0.41237113402061859</v>
      </c>
      <c r="AA93" s="178">
        <f t="shared" si="109"/>
        <v>1.4138438880706923</v>
      </c>
      <c r="AB93" s="178">
        <f t="shared" si="110"/>
        <v>0.20405994260814117</v>
      </c>
      <c r="AC93" s="178"/>
      <c r="AD93" s="178">
        <f t="shared" si="111"/>
        <v>0.99428571428571422</v>
      </c>
      <c r="AE93" s="562">
        <f t="shared" si="112"/>
        <v>1220.7689258818871</v>
      </c>
      <c r="AF93" s="545">
        <f t="shared" si="113"/>
        <v>0.10091999999999998</v>
      </c>
      <c r="AH93" s="178">
        <f t="shared" si="114"/>
        <v>0.65652144531863188</v>
      </c>
      <c r="AI93" s="178">
        <f t="shared" si="115"/>
        <v>1.1002363050483353</v>
      </c>
      <c r="AJ93" s="178">
        <f t="shared" si="116"/>
        <v>1.8001750407765447</v>
      </c>
      <c r="AL93" s="562">
        <f t="shared" si="117"/>
        <v>352.00000000000006</v>
      </c>
      <c r="AM93" s="471">
        <f t="shared" si="118"/>
        <v>131.18081656183475</v>
      </c>
      <c r="AO93">
        <f t="shared" si="145"/>
        <v>352.00000000000006</v>
      </c>
      <c r="AP93">
        <f t="shared" si="119"/>
        <v>131.18081656183475</v>
      </c>
      <c r="AR93" s="5">
        <f t="shared" si="146"/>
        <v>7.6230658278348926</v>
      </c>
      <c r="AS93" s="5">
        <f t="shared" si="120"/>
        <v>3.8508270676691727</v>
      </c>
      <c r="AT93" s="5">
        <f t="shared" si="147"/>
        <v>3.7722387601657199</v>
      </c>
      <c r="AU93" s="178">
        <f t="shared" si="148"/>
        <v>0.50515463917525771</v>
      </c>
      <c r="AW93" s="5">
        <f t="shared" si="121"/>
        <v>11.295759398496243</v>
      </c>
      <c r="AX93" s="5">
        <f t="shared" si="122"/>
        <v>5.6478796992481213</v>
      </c>
      <c r="AY93" s="5">
        <f t="shared" si="123"/>
        <v>0.5823807208676901</v>
      </c>
      <c r="AZ93" s="5"/>
      <c r="BA93" s="178">
        <f t="shared" si="149"/>
        <v>0.45147896108644042</v>
      </c>
      <c r="BB93" s="178">
        <f t="shared" si="124"/>
        <v>0.8936965704572879</v>
      </c>
      <c r="BC93" s="178">
        <f t="shared" si="125"/>
        <v>0.44684828522864395</v>
      </c>
      <c r="BD93" s="178"/>
      <c r="BE93" s="545">
        <f t="shared" si="126"/>
        <v>7.1341638306292046E-2</v>
      </c>
      <c r="BF93" s="545">
        <f t="shared" si="127"/>
        <v>5.2500000000000012E-2</v>
      </c>
      <c r="BG93" s="545">
        <f t="shared" si="128"/>
        <v>1.6397602070229343E-3</v>
      </c>
      <c r="BH93" s="545">
        <f t="shared" si="129"/>
        <v>1.542850378787879E-2</v>
      </c>
      <c r="BI93">
        <f t="shared" si="130"/>
        <v>6.96E-3</v>
      </c>
      <c r="BJ93">
        <f t="shared" si="131"/>
        <v>0.15161787769076923</v>
      </c>
      <c r="BK93" s="471">
        <f t="shared" si="150"/>
        <v>151.61787769076923</v>
      </c>
      <c r="BL93" s="178">
        <f t="shared" si="132"/>
        <v>0.10560000000000001</v>
      </c>
      <c r="BM93" s="178">
        <f t="shared" si="133"/>
        <v>5.2800000000000007E-2</v>
      </c>
      <c r="BN93" s="545"/>
      <c r="BP93" s="471">
        <f t="shared" si="151"/>
        <v>158.4</v>
      </c>
      <c r="BQ93" s="545">
        <f t="shared" si="134"/>
        <v>1.93641589688507E-2</v>
      </c>
      <c r="BR93" s="545">
        <f t="shared" si="135"/>
        <v>7.188242040424063E-2</v>
      </c>
      <c r="BS93" s="545">
        <f t="shared" si="136"/>
        <v>1.9967339001177954E-2</v>
      </c>
      <c r="BT93" s="545">
        <f t="shared" si="137"/>
        <v>1.2512980214660064E-2</v>
      </c>
      <c r="BU93" s="545">
        <f t="shared" si="138"/>
        <v>0.12483759281754137</v>
      </c>
      <c r="BV93" s="655">
        <f t="shared" si="139"/>
        <v>3.5729323308270694E-2</v>
      </c>
      <c r="BW93" s="471">
        <f t="shared" si="152"/>
        <v>160.56691612581207</v>
      </c>
      <c r="BX93" s="178">
        <f t="shared" si="153"/>
        <v>0.47058479381658136</v>
      </c>
      <c r="BY93" s="5">
        <f t="shared" si="154"/>
        <v>6.3360000000000003</v>
      </c>
      <c r="BZ93" s="178">
        <f t="shared" si="155"/>
        <v>0.93086330251199068</v>
      </c>
      <c r="CA93" s="5">
        <f t="shared" si="156"/>
        <v>93.086330251199072</v>
      </c>
      <c r="CB93">
        <f t="shared" si="157"/>
        <v>88</v>
      </c>
      <c r="CD93" s="580">
        <f t="shared" si="140"/>
        <v>-50</v>
      </c>
      <c r="CE93">
        <f t="shared" si="141"/>
        <v>-50</v>
      </c>
    </row>
    <row r="94" spans="5:83" x14ac:dyDescent="0.2">
      <c r="E94" s="175">
        <v>89</v>
      </c>
      <c r="F94" s="222">
        <f t="shared" si="158"/>
        <v>0.35600000000000004</v>
      </c>
      <c r="G94" s="222">
        <f t="shared" si="142"/>
        <v>0.17800000000000002</v>
      </c>
      <c r="H94" s="222">
        <f t="shared" si="95"/>
        <v>4.2720000000000002</v>
      </c>
      <c r="I94" s="222">
        <f t="shared" si="159"/>
        <v>2.1360000000000001</v>
      </c>
      <c r="J94" s="558">
        <f t="shared" si="96"/>
        <v>24</v>
      </c>
      <c r="K94" s="453">
        <f t="shared" si="97"/>
        <v>24.5</v>
      </c>
      <c r="L94" s="453">
        <f t="shared" si="98"/>
        <v>48.5</v>
      </c>
      <c r="M94" s="453"/>
      <c r="N94" s="222">
        <f t="shared" si="99"/>
        <v>0.50515463917525771</v>
      </c>
      <c r="O94" s="177">
        <f t="shared" si="143"/>
        <v>5.5668041237113393</v>
      </c>
      <c r="P94" s="177">
        <f t="shared" si="100"/>
        <v>4.1751030927835044</v>
      </c>
      <c r="Q94" s="222">
        <f t="shared" si="101"/>
        <v>0.46390034364261162</v>
      </c>
      <c r="R94" s="222">
        <f t="shared" si="102"/>
        <v>0.46390034364261162</v>
      </c>
      <c r="S94" s="453">
        <f t="shared" si="103"/>
        <v>12</v>
      </c>
      <c r="T94" s="222">
        <f t="shared" si="104"/>
        <v>1.1127389903329756</v>
      </c>
      <c r="U94" s="222">
        <f t="shared" si="105"/>
        <v>3.8945864661654142</v>
      </c>
      <c r="V94" s="222">
        <f t="shared" si="106"/>
        <v>3.8151051097130586</v>
      </c>
      <c r="W94" s="202">
        <f t="shared" si="107"/>
        <v>350</v>
      </c>
      <c r="X94" s="453">
        <f t="shared" si="144"/>
        <v>129.70687480271297</v>
      </c>
      <c r="Z94" s="222">
        <f t="shared" si="108"/>
        <v>0.41237113402061859</v>
      </c>
      <c r="AA94" s="178">
        <f t="shared" si="109"/>
        <v>1.4138438880706923</v>
      </c>
      <c r="AB94" s="178">
        <f t="shared" si="110"/>
        <v>0.20405994260814117</v>
      </c>
      <c r="AC94" s="178"/>
      <c r="AD94" s="178">
        <f t="shared" si="111"/>
        <v>0.99428571428571422</v>
      </c>
      <c r="AE94" s="562">
        <f t="shared" si="112"/>
        <v>1234.6413000396358</v>
      </c>
      <c r="AF94" s="545">
        <f t="shared" si="113"/>
        <v>0.10091999999999998</v>
      </c>
      <c r="AH94" s="178">
        <f t="shared" si="114"/>
        <v>0.66024114333093398</v>
      </c>
      <c r="AI94" s="178">
        <f t="shared" si="115"/>
        <v>1.1127389903329756</v>
      </c>
      <c r="AJ94" s="178">
        <f t="shared" si="116"/>
        <v>1.8094362891355376</v>
      </c>
      <c r="AL94" s="562">
        <f t="shared" si="117"/>
        <v>356.00000000000006</v>
      </c>
      <c r="AM94" s="471">
        <f t="shared" si="118"/>
        <v>129.70687480271297</v>
      </c>
      <c r="AO94">
        <f t="shared" si="145"/>
        <v>356.00000000000006</v>
      </c>
      <c r="AP94">
        <f t="shared" si="119"/>
        <v>129.70687480271297</v>
      </c>
      <c r="AR94" s="5">
        <f t="shared" si="146"/>
        <v>7.7096915758784732</v>
      </c>
      <c r="AS94" s="5">
        <f t="shared" si="120"/>
        <v>3.8945864661654142</v>
      </c>
      <c r="AT94" s="5">
        <f t="shared" si="147"/>
        <v>3.8151051097130591</v>
      </c>
      <c r="AU94" s="178">
        <f t="shared" si="148"/>
        <v>0.50515463917525771</v>
      </c>
      <c r="AW94" s="5">
        <f t="shared" si="121"/>
        <v>11.553939849624063</v>
      </c>
      <c r="AX94" s="5">
        <f t="shared" si="122"/>
        <v>5.7769699248120316</v>
      </c>
      <c r="AY94" s="5">
        <f t="shared" si="123"/>
        <v>0.59569185046396889</v>
      </c>
      <c r="AZ94" s="5"/>
      <c r="BA94" s="178">
        <f t="shared" si="149"/>
        <v>0.45660940382605913</v>
      </c>
      <c r="BB94" s="178">
        <f t="shared" si="124"/>
        <v>0.9038522133033936</v>
      </c>
      <c r="BC94" s="178">
        <f t="shared" si="125"/>
        <v>0.4519261066516968</v>
      </c>
      <c r="BD94" s="178"/>
      <c r="BE94" s="545">
        <f t="shared" si="126"/>
        <v>7.29722516818362E-2</v>
      </c>
      <c r="BF94" s="545">
        <f t="shared" si="127"/>
        <v>5.2500000000000005E-2</v>
      </c>
      <c r="BG94" s="545">
        <f t="shared" si="128"/>
        <v>1.6213359350339121E-3</v>
      </c>
      <c r="BH94" s="545">
        <f t="shared" si="129"/>
        <v>1.5255149812734081E-2</v>
      </c>
      <c r="BI94">
        <f t="shared" si="130"/>
        <v>6.96E-3</v>
      </c>
      <c r="BJ94">
        <f t="shared" si="131"/>
        <v>0.15318192481444048</v>
      </c>
      <c r="BK94" s="471">
        <f t="shared" si="150"/>
        <v>153.18192481444049</v>
      </c>
      <c r="BL94" s="178">
        <f t="shared" si="132"/>
        <v>0.10680000000000001</v>
      </c>
      <c r="BM94" s="178">
        <f t="shared" si="133"/>
        <v>5.3400000000000003E-2</v>
      </c>
      <c r="BN94" s="545"/>
      <c r="BP94" s="471">
        <f t="shared" si="151"/>
        <v>160.20000000000002</v>
      </c>
      <c r="BQ94" s="545">
        <f t="shared" si="134"/>
        <v>1.9806754027926969E-2</v>
      </c>
      <c r="BR94" s="545">
        <f t="shared" si="135"/>
        <v>7.3525394114409892E-2</v>
      </c>
      <c r="BS94" s="545">
        <f t="shared" si="136"/>
        <v>2.0423720587336085E-2</v>
      </c>
      <c r="BT94" s="545">
        <f t="shared" si="137"/>
        <v>1.2512980214660099E-2</v>
      </c>
      <c r="BU94" s="545">
        <f t="shared" si="138"/>
        <v>0.12742850819639764</v>
      </c>
      <c r="BV94" s="655">
        <f t="shared" si="139"/>
        <v>3.613533834586468E-2</v>
      </c>
      <c r="BW94" s="471">
        <f t="shared" si="152"/>
        <v>163.56384654226233</v>
      </c>
      <c r="BX94" s="178">
        <f t="shared" si="153"/>
        <v>0.4769457713567028</v>
      </c>
      <c r="BY94" s="5">
        <f t="shared" si="154"/>
        <v>6.4080000000000004</v>
      </c>
      <c r="BZ94" s="178">
        <f t="shared" si="155"/>
        <v>0.93072628497076471</v>
      </c>
      <c r="CA94" s="5">
        <f t="shared" si="156"/>
        <v>93.072628497076465</v>
      </c>
      <c r="CB94">
        <f t="shared" si="157"/>
        <v>89</v>
      </c>
      <c r="CD94" s="580">
        <f t="shared" si="140"/>
        <v>-50</v>
      </c>
      <c r="CE94">
        <f t="shared" si="141"/>
        <v>-50</v>
      </c>
    </row>
    <row r="95" spans="5:83" x14ac:dyDescent="0.2">
      <c r="E95" s="175">
        <v>90</v>
      </c>
      <c r="F95" s="222">
        <f t="shared" si="158"/>
        <v>0.36000000000000004</v>
      </c>
      <c r="G95" s="222">
        <f t="shared" si="142"/>
        <v>0.18000000000000002</v>
      </c>
      <c r="H95" s="222">
        <f t="shared" si="95"/>
        <v>4.32</v>
      </c>
      <c r="I95" s="222">
        <f t="shared" si="159"/>
        <v>2.16</v>
      </c>
      <c r="J95" s="558">
        <f t="shared" si="96"/>
        <v>24</v>
      </c>
      <c r="K95" s="453">
        <f t="shared" si="97"/>
        <v>24.5</v>
      </c>
      <c r="L95" s="453">
        <f t="shared" si="98"/>
        <v>48.5</v>
      </c>
      <c r="M95" s="453"/>
      <c r="N95" s="222">
        <f t="shared" si="99"/>
        <v>0.50515463917525771</v>
      </c>
      <c r="O95" s="177">
        <f t="shared" si="143"/>
        <v>5.5668041237113393</v>
      </c>
      <c r="P95" s="177">
        <f t="shared" si="100"/>
        <v>4.1751030927835044</v>
      </c>
      <c r="Q95" s="222">
        <f t="shared" si="101"/>
        <v>0.46390034364261162</v>
      </c>
      <c r="R95" s="222">
        <f t="shared" si="102"/>
        <v>0.46390034364261162</v>
      </c>
      <c r="S95" s="453">
        <f t="shared" si="103"/>
        <v>12</v>
      </c>
      <c r="T95" s="222">
        <f t="shared" si="104"/>
        <v>1.1252416756176158</v>
      </c>
      <c r="U95" s="222">
        <f t="shared" si="105"/>
        <v>3.9383458646616551</v>
      </c>
      <c r="V95" s="222">
        <f t="shared" si="106"/>
        <v>3.8579714592603964</v>
      </c>
      <c r="W95" s="202">
        <f t="shared" si="107"/>
        <v>350</v>
      </c>
      <c r="X95" s="453">
        <f t="shared" si="144"/>
        <v>128.26568730490504</v>
      </c>
      <c r="Z95" s="222">
        <f t="shared" si="108"/>
        <v>0.41237113402061859</v>
      </c>
      <c r="AA95" s="178">
        <f t="shared" si="109"/>
        <v>1.4138438880706923</v>
      </c>
      <c r="AB95" s="178">
        <f t="shared" si="110"/>
        <v>0.20405994260814117</v>
      </c>
      <c r="AC95" s="178"/>
      <c r="AD95" s="178">
        <f t="shared" si="111"/>
        <v>0.99428571428571422</v>
      </c>
      <c r="AE95" s="562">
        <f t="shared" si="112"/>
        <v>1248.5136741973847</v>
      </c>
      <c r="AF95" s="545">
        <f t="shared" si="113"/>
        <v>0.10091999999999998</v>
      </c>
      <c r="AH95" s="178">
        <f t="shared" si="114"/>
        <v>0.66394000220698579</v>
      </c>
      <c r="AI95" s="178">
        <f t="shared" si="115"/>
        <v>1.1252416756176158</v>
      </c>
      <c r="AJ95" s="178">
        <f t="shared" si="116"/>
        <v>1.8186975374945302</v>
      </c>
      <c r="AL95" s="562">
        <f t="shared" si="117"/>
        <v>360.00000000000006</v>
      </c>
      <c r="AM95" s="471">
        <f t="shared" si="118"/>
        <v>128.26568730490504</v>
      </c>
      <c r="AO95">
        <f t="shared" si="145"/>
        <v>360.00000000000006</v>
      </c>
      <c r="AP95">
        <f t="shared" si="119"/>
        <v>128.26568730490504</v>
      </c>
      <c r="AR95" s="5">
        <f t="shared" si="146"/>
        <v>7.796317323922052</v>
      </c>
      <c r="AS95" s="5">
        <f t="shared" si="120"/>
        <v>3.9383458646616551</v>
      </c>
      <c r="AT95" s="5">
        <f t="shared" si="147"/>
        <v>3.8579714592603969</v>
      </c>
      <c r="AU95" s="178">
        <f t="shared" si="148"/>
        <v>0.50515463917525771</v>
      </c>
      <c r="AW95" s="5">
        <f t="shared" si="121"/>
        <v>11.815037593984968</v>
      </c>
      <c r="AX95" s="5">
        <f t="shared" si="122"/>
        <v>5.9075187969924841</v>
      </c>
      <c r="AY95" s="5">
        <f t="shared" si="123"/>
        <v>0.60915338830427324</v>
      </c>
      <c r="AZ95" s="5"/>
      <c r="BA95" s="178">
        <f t="shared" si="149"/>
        <v>0.46173984656567779</v>
      </c>
      <c r="BB95" s="178">
        <f t="shared" si="124"/>
        <v>0.91400785614949909</v>
      </c>
      <c r="BC95" s="178">
        <f t="shared" si="125"/>
        <v>0.45700392807474954</v>
      </c>
      <c r="BD95" s="178"/>
      <c r="BE95" s="545">
        <f t="shared" si="126"/>
        <v>7.4621290067273471E-2</v>
      </c>
      <c r="BF95" s="545">
        <f t="shared" si="127"/>
        <v>5.2499999999999998E-2</v>
      </c>
      <c r="BG95" s="545">
        <f t="shared" si="128"/>
        <v>1.6033210913113129E-3</v>
      </c>
      <c r="BH95" s="545">
        <f t="shared" si="129"/>
        <v>1.5085648148148147E-2</v>
      </c>
      <c r="BI95">
        <f t="shared" si="130"/>
        <v>6.96E-3</v>
      </c>
      <c r="BJ95">
        <f t="shared" si="131"/>
        <v>0.15477208932138151</v>
      </c>
      <c r="BK95" s="471">
        <f t="shared" si="150"/>
        <v>154.77208932138151</v>
      </c>
      <c r="BL95" s="178">
        <f t="shared" si="132"/>
        <v>0.10800000000000001</v>
      </c>
      <c r="BM95" s="178">
        <f t="shared" si="133"/>
        <v>5.4000000000000006E-2</v>
      </c>
      <c r="BN95" s="545"/>
      <c r="BP95" s="471">
        <f t="shared" si="151"/>
        <v>162.00000000000003</v>
      </c>
      <c r="BQ95" s="545">
        <f t="shared" si="134"/>
        <v>2.0254350161117089E-2</v>
      </c>
      <c r="BR95" s="545">
        <f t="shared" si="135"/>
        <v>7.5186932499270304E-2</v>
      </c>
      <c r="BS95" s="545">
        <f t="shared" si="136"/>
        <v>2.0885259027575084E-2</v>
      </c>
      <c r="BT95" s="545">
        <f t="shared" si="137"/>
        <v>1.2512980214660083E-2</v>
      </c>
      <c r="BU95" s="545">
        <f t="shared" si="138"/>
        <v>0.13004978120622226</v>
      </c>
      <c r="BV95" s="655">
        <f t="shared" si="139"/>
        <v>3.6541353383458659E-2</v>
      </c>
      <c r="BW95" s="471">
        <f t="shared" si="152"/>
        <v>166.59113458968091</v>
      </c>
      <c r="BX95" s="178">
        <f t="shared" si="153"/>
        <v>0.48336322391106246</v>
      </c>
      <c r="BY95" s="5">
        <f t="shared" si="154"/>
        <v>6.48</v>
      </c>
      <c r="BZ95" s="178">
        <f t="shared" si="155"/>
        <v>0.93058480387016551</v>
      </c>
      <c r="CA95" s="5">
        <f t="shared" si="156"/>
        <v>93.058480387016544</v>
      </c>
      <c r="CB95">
        <f t="shared" si="157"/>
        <v>90</v>
      </c>
      <c r="CD95" s="580">
        <f t="shared" si="140"/>
        <v>-50</v>
      </c>
      <c r="CE95">
        <f t="shared" si="141"/>
        <v>-50</v>
      </c>
    </row>
    <row r="96" spans="5:83" x14ac:dyDescent="0.2">
      <c r="E96" s="175">
        <v>91</v>
      </c>
      <c r="F96" s="222">
        <f t="shared" si="158"/>
        <v>0.36400000000000005</v>
      </c>
      <c r="G96" s="222">
        <f t="shared" si="142"/>
        <v>0.18200000000000002</v>
      </c>
      <c r="H96" s="222">
        <f t="shared" si="95"/>
        <v>4.3680000000000003</v>
      </c>
      <c r="I96" s="222">
        <f t="shared" si="159"/>
        <v>2.1840000000000002</v>
      </c>
      <c r="J96" s="558">
        <f t="shared" si="96"/>
        <v>24</v>
      </c>
      <c r="K96" s="453">
        <f t="shared" si="97"/>
        <v>24.5</v>
      </c>
      <c r="L96" s="453">
        <f t="shared" si="98"/>
        <v>48.5</v>
      </c>
      <c r="M96" s="453"/>
      <c r="N96" s="222">
        <f t="shared" si="99"/>
        <v>0.50515463917525771</v>
      </c>
      <c r="O96" s="177">
        <f t="shared" si="143"/>
        <v>5.5668041237113393</v>
      </c>
      <c r="P96" s="177">
        <f t="shared" si="100"/>
        <v>4.1751030927835044</v>
      </c>
      <c r="Q96" s="222">
        <f t="shared" si="101"/>
        <v>0.46390034364261162</v>
      </c>
      <c r="R96" s="222">
        <f t="shared" si="102"/>
        <v>0.46390034364261162</v>
      </c>
      <c r="S96" s="453">
        <f t="shared" si="103"/>
        <v>12</v>
      </c>
      <c r="T96" s="222">
        <f t="shared" si="104"/>
        <v>1.1377443609022559</v>
      </c>
      <c r="U96" s="222">
        <f t="shared" si="105"/>
        <v>3.9821052631578953</v>
      </c>
      <c r="V96" s="222">
        <f t="shared" si="106"/>
        <v>3.9008378088077338</v>
      </c>
      <c r="W96" s="202">
        <f t="shared" si="107"/>
        <v>350</v>
      </c>
      <c r="X96" s="453">
        <f t="shared" si="144"/>
        <v>126.8561742575984</v>
      </c>
      <c r="Z96" s="222">
        <f t="shared" si="108"/>
        <v>0.41237113402061859</v>
      </c>
      <c r="AA96" s="178">
        <f t="shared" si="109"/>
        <v>1.4138438880706923</v>
      </c>
      <c r="AB96" s="178">
        <f t="shared" si="110"/>
        <v>0.20405994260814117</v>
      </c>
      <c r="AC96" s="178"/>
      <c r="AD96" s="178">
        <f t="shared" si="111"/>
        <v>0.99428571428571422</v>
      </c>
      <c r="AE96" s="562">
        <f t="shared" si="112"/>
        <v>1262.3860483551332</v>
      </c>
      <c r="AF96" s="545">
        <f t="shared" si="113"/>
        <v>0.10091999999999998</v>
      </c>
      <c r="AH96" s="178">
        <f t="shared" si="114"/>
        <v>0.66761836831702415</v>
      </c>
      <c r="AI96" s="178">
        <f t="shared" si="115"/>
        <v>1.1377443609022559</v>
      </c>
      <c r="AJ96" s="178">
        <f t="shared" si="116"/>
        <v>1.8279587858535229</v>
      </c>
      <c r="AL96" s="562">
        <f t="shared" si="117"/>
        <v>364.00000000000006</v>
      </c>
      <c r="AM96" s="471">
        <f t="shared" si="118"/>
        <v>126.8561742575984</v>
      </c>
      <c r="AO96">
        <f t="shared" si="145"/>
        <v>364.00000000000006</v>
      </c>
      <c r="AP96">
        <f t="shared" si="119"/>
        <v>126.8561742575984</v>
      </c>
      <c r="AR96" s="5">
        <f t="shared" si="146"/>
        <v>7.8829430719656299</v>
      </c>
      <c r="AS96" s="5">
        <f t="shared" si="120"/>
        <v>3.9821052631578953</v>
      </c>
      <c r="AT96" s="5">
        <f t="shared" si="147"/>
        <v>3.9008378088077347</v>
      </c>
      <c r="AU96" s="178">
        <f t="shared" si="148"/>
        <v>0.50515463917525771</v>
      </c>
      <c r="AW96" s="5">
        <f t="shared" si="121"/>
        <v>12.07905263157895</v>
      </c>
      <c r="AX96" s="5">
        <f t="shared" si="122"/>
        <v>6.039526315789475</v>
      </c>
      <c r="AY96" s="5">
        <f t="shared" si="123"/>
        <v>0.62276533438860326</v>
      </c>
      <c r="AZ96" s="5"/>
      <c r="BA96" s="178">
        <f t="shared" si="149"/>
        <v>0.46687028930529645</v>
      </c>
      <c r="BB96" s="178">
        <f t="shared" si="124"/>
        <v>0.92416349899560468</v>
      </c>
      <c r="BC96" s="178">
        <f t="shared" si="125"/>
        <v>0.46208174949780234</v>
      </c>
      <c r="BD96" s="178"/>
      <c r="BE96" s="545">
        <f t="shared" si="126"/>
        <v>7.6288753462603914E-2</v>
      </c>
      <c r="BF96" s="545">
        <f t="shared" si="127"/>
        <v>5.2499999999999998E-2</v>
      </c>
      <c r="BG96" s="545">
        <f t="shared" si="128"/>
        <v>1.58570217821998E-3</v>
      </c>
      <c r="BH96" s="545">
        <f t="shared" si="129"/>
        <v>1.4919871794871793E-2</v>
      </c>
      <c r="BI96">
        <f t="shared" si="130"/>
        <v>6.96E-3</v>
      </c>
      <c r="BJ96">
        <f t="shared" si="131"/>
        <v>0.15638830416835883</v>
      </c>
      <c r="BK96" s="471">
        <f t="shared" si="150"/>
        <v>156.38830416835884</v>
      </c>
      <c r="BL96" s="178">
        <f t="shared" si="132"/>
        <v>0.10920000000000001</v>
      </c>
      <c r="BM96" s="178">
        <f t="shared" si="133"/>
        <v>5.4600000000000003E-2</v>
      </c>
      <c r="BN96" s="545"/>
      <c r="BP96" s="471">
        <f t="shared" si="151"/>
        <v>163.80000000000001</v>
      </c>
      <c r="BQ96" s="545">
        <f t="shared" si="134"/>
        <v>2.0706947368421064E-2</v>
      </c>
      <c r="BR96" s="545">
        <f t="shared" si="135"/>
        <v>7.6867035558821906E-2</v>
      </c>
      <c r="BS96" s="545">
        <f t="shared" si="136"/>
        <v>2.1351954321894975E-2</v>
      </c>
      <c r="BT96" s="545">
        <f t="shared" si="137"/>
        <v>1.2512980214660078E-2</v>
      </c>
      <c r="BU96" s="545">
        <f t="shared" si="138"/>
        <v>0.13270144899952499</v>
      </c>
      <c r="BV96" s="655">
        <f t="shared" si="139"/>
        <v>3.6947368421052638E-2</v>
      </c>
      <c r="BW96" s="471">
        <f t="shared" si="152"/>
        <v>169.64881742057764</v>
      </c>
      <c r="BX96" s="178">
        <f t="shared" si="153"/>
        <v>0.48983712158893644</v>
      </c>
      <c r="BY96" s="5">
        <f t="shared" si="154"/>
        <v>6.5520000000000005</v>
      </c>
      <c r="BZ96" s="178">
        <f t="shared" si="155"/>
        <v>0.93043901568140663</v>
      </c>
      <c r="CA96" s="5">
        <f t="shared" si="156"/>
        <v>93.043901568140669</v>
      </c>
      <c r="CB96">
        <f t="shared" si="157"/>
        <v>91</v>
      </c>
      <c r="CD96" s="580">
        <f t="shared" si="140"/>
        <v>-50</v>
      </c>
      <c r="CE96">
        <f t="shared" si="141"/>
        <v>-50</v>
      </c>
    </row>
    <row r="97" spans="5:83" x14ac:dyDescent="0.2">
      <c r="E97" s="175">
        <v>92</v>
      </c>
      <c r="F97" s="222">
        <f t="shared" si="158"/>
        <v>0.36800000000000005</v>
      </c>
      <c r="G97" s="222">
        <f t="shared" si="142"/>
        <v>0.18400000000000002</v>
      </c>
      <c r="H97" s="222">
        <f t="shared" si="95"/>
        <v>4.4160000000000004</v>
      </c>
      <c r="I97" s="222">
        <f t="shared" si="159"/>
        <v>2.2080000000000002</v>
      </c>
      <c r="J97" s="558">
        <f t="shared" si="96"/>
        <v>24</v>
      </c>
      <c r="K97" s="453">
        <f t="shared" si="97"/>
        <v>24.5</v>
      </c>
      <c r="L97" s="453">
        <f t="shared" si="98"/>
        <v>48.5</v>
      </c>
      <c r="M97" s="453"/>
      <c r="N97" s="222">
        <f t="shared" si="99"/>
        <v>0.50515463917525771</v>
      </c>
      <c r="O97" s="177">
        <f t="shared" si="143"/>
        <v>5.5668041237113393</v>
      </c>
      <c r="P97" s="177">
        <f t="shared" si="100"/>
        <v>4.1751030927835044</v>
      </c>
      <c r="Q97" s="222">
        <f t="shared" si="101"/>
        <v>0.46390034364261162</v>
      </c>
      <c r="R97" s="222">
        <f t="shared" si="102"/>
        <v>0.46390034364261162</v>
      </c>
      <c r="S97" s="453">
        <f t="shared" si="103"/>
        <v>12</v>
      </c>
      <c r="T97" s="222">
        <f t="shared" si="104"/>
        <v>1.1502470461868961</v>
      </c>
      <c r="U97" s="222">
        <f t="shared" si="105"/>
        <v>4.0258646616541363</v>
      </c>
      <c r="V97" s="222">
        <f t="shared" si="106"/>
        <v>3.943704158355072</v>
      </c>
      <c r="W97" s="202">
        <f t="shared" si="107"/>
        <v>350</v>
      </c>
      <c r="X97" s="453">
        <f t="shared" si="144"/>
        <v>125.47730279827668</v>
      </c>
      <c r="Z97" s="222">
        <f t="shared" si="108"/>
        <v>0.41237113402061859</v>
      </c>
      <c r="AA97" s="178">
        <f t="shared" si="109"/>
        <v>1.4138438880706923</v>
      </c>
      <c r="AB97" s="178">
        <f t="shared" si="110"/>
        <v>0.20405994260814117</v>
      </c>
      <c r="AC97" s="178"/>
      <c r="AD97" s="178">
        <f t="shared" si="111"/>
        <v>0.99428571428571422</v>
      </c>
      <c r="AE97" s="562">
        <f t="shared" si="112"/>
        <v>1276.2584225128819</v>
      </c>
      <c r="AF97" s="545">
        <f t="shared" si="113"/>
        <v>0.10091999999999998</v>
      </c>
      <c r="AH97" s="178">
        <f t="shared" si="114"/>
        <v>0.67127657854118461</v>
      </c>
      <c r="AI97" s="178">
        <f t="shared" si="115"/>
        <v>1.1502470461868961</v>
      </c>
      <c r="AJ97" s="178">
        <f t="shared" si="116"/>
        <v>1.8372200342125156</v>
      </c>
      <c r="AL97" s="562">
        <f t="shared" si="117"/>
        <v>368.00000000000006</v>
      </c>
      <c r="AM97" s="471">
        <f t="shared" si="118"/>
        <v>125.47730279827668</v>
      </c>
      <c r="AO97">
        <f t="shared" si="145"/>
        <v>368.00000000000006</v>
      </c>
      <c r="AP97">
        <f t="shared" si="119"/>
        <v>125.47730279827668</v>
      </c>
      <c r="AR97" s="5">
        <f t="shared" si="146"/>
        <v>7.9695688200092079</v>
      </c>
      <c r="AS97" s="5">
        <f t="shared" si="120"/>
        <v>4.0258646616541363</v>
      </c>
      <c r="AT97" s="5">
        <f t="shared" si="147"/>
        <v>3.9437041583550716</v>
      </c>
      <c r="AU97" s="178">
        <f t="shared" si="148"/>
        <v>0.50515463917525782</v>
      </c>
      <c r="AW97" s="5">
        <f t="shared" si="121"/>
        <v>12.345984962406021</v>
      </c>
      <c r="AX97" s="5">
        <f t="shared" si="122"/>
        <v>6.1729924812030106</v>
      </c>
      <c r="AY97" s="5">
        <f t="shared" si="123"/>
        <v>0.63652768871695886</v>
      </c>
      <c r="AZ97" s="5"/>
      <c r="BA97" s="178">
        <f t="shared" si="149"/>
        <v>0.47200073204491511</v>
      </c>
      <c r="BB97" s="178">
        <f t="shared" si="124"/>
        <v>0.93431914184171005</v>
      </c>
      <c r="BC97" s="178">
        <f t="shared" si="125"/>
        <v>0.46715957092085503</v>
      </c>
      <c r="BD97" s="178"/>
      <c r="BE97" s="545">
        <f t="shared" si="126"/>
        <v>7.7974641867827515E-2</v>
      </c>
      <c r="BF97" s="545">
        <f t="shared" si="127"/>
        <v>5.2500000000000005E-2</v>
      </c>
      <c r="BG97" s="545">
        <f t="shared" si="128"/>
        <v>1.5684662849784583E-3</v>
      </c>
      <c r="BH97" s="545">
        <f t="shared" si="129"/>
        <v>1.4757699275362317E-2</v>
      </c>
      <c r="BI97">
        <f t="shared" si="130"/>
        <v>6.96E-3</v>
      </c>
      <c r="BJ97">
        <f t="shared" si="131"/>
        <v>0.15803050945754102</v>
      </c>
      <c r="BK97" s="471">
        <f t="shared" si="150"/>
        <v>158.03050945754103</v>
      </c>
      <c r="BL97" s="178">
        <f t="shared" si="132"/>
        <v>0.11040000000000001</v>
      </c>
      <c r="BM97" s="178">
        <f t="shared" si="133"/>
        <v>5.5200000000000006E-2</v>
      </c>
      <c r="BN97" s="545"/>
      <c r="BP97" s="471">
        <f t="shared" si="151"/>
        <v>165.60000000000002</v>
      </c>
      <c r="BQ97" s="545">
        <f t="shared" si="134"/>
        <v>2.1164545649838898E-2</v>
      </c>
      <c r="BR97" s="545">
        <f t="shared" si="135"/>
        <v>7.8565703293064656E-2</v>
      </c>
      <c r="BS97" s="545">
        <f t="shared" si="136"/>
        <v>2.1823806470295738E-2</v>
      </c>
      <c r="BT97" s="545">
        <f t="shared" si="137"/>
        <v>1.2512980214660076E-2</v>
      </c>
      <c r="BU97" s="545">
        <f t="shared" si="138"/>
        <v>0.1353835491830136</v>
      </c>
      <c r="BV97" s="655">
        <f t="shared" si="139"/>
        <v>3.7353383458646638E-2</v>
      </c>
      <c r="BW97" s="471">
        <f t="shared" si="152"/>
        <v>172.73693264166025</v>
      </c>
      <c r="BX97" s="178">
        <f t="shared" si="153"/>
        <v>0.49636744209920131</v>
      </c>
      <c r="BY97" s="5">
        <f t="shared" si="154"/>
        <v>6.6240000000000006</v>
      </c>
      <c r="BZ97" s="178">
        <f t="shared" si="155"/>
        <v>0.9302890691898249</v>
      </c>
      <c r="CA97" s="5">
        <f t="shared" si="156"/>
        <v>93.028906918982486</v>
      </c>
      <c r="CB97">
        <f t="shared" si="157"/>
        <v>92</v>
      </c>
      <c r="CD97" s="580">
        <f t="shared" si="140"/>
        <v>-50</v>
      </c>
      <c r="CE97">
        <f t="shared" si="141"/>
        <v>-50</v>
      </c>
    </row>
    <row r="98" spans="5:83" x14ac:dyDescent="0.2">
      <c r="E98" s="175">
        <v>93</v>
      </c>
      <c r="F98" s="222">
        <f t="shared" si="158"/>
        <v>0.37200000000000005</v>
      </c>
      <c r="G98" s="222">
        <f t="shared" si="142"/>
        <v>0.18600000000000003</v>
      </c>
      <c r="H98" s="222">
        <f t="shared" si="95"/>
        <v>4.4640000000000004</v>
      </c>
      <c r="I98" s="222">
        <f t="shared" si="159"/>
        <v>2.2320000000000002</v>
      </c>
      <c r="J98" s="558">
        <f t="shared" si="96"/>
        <v>24</v>
      </c>
      <c r="K98" s="453">
        <f t="shared" si="97"/>
        <v>24.5</v>
      </c>
      <c r="L98" s="453">
        <f t="shared" si="98"/>
        <v>48.5</v>
      </c>
      <c r="M98" s="453"/>
      <c r="N98" s="222">
        <f t="shared" si="99"/>
        <v>0.50515463917525771</v>
      </c>
      <c r="O98" s="177">
        <f t="shared" si="143"/>
        <v>5.5668041237113393</v>
      </c>
      <c r="P98" s="177">
        <f t="shared" si="100"/>
        <v>4.1751030927835044</v>
      </c>
      <c r="Q98" s="222">
        <f t="shared" si="101"/>
        <v>0.46390034364261162</v>
      </c>
      <c r="R98" s="222">
        <f t="shared" si="102"/>
        <v>0.46390034364261162</v>
      </c>
      <c r="S98" s="453">
        <f t="shared" si="103"/>
        <v>12</v>
      </c>
      <c r="T98" s="222">
        <f t="shared" si="104"/>
        <v>1.1627497314715363</v>
      </c>
      <c r="U98" s="222">
        <f t="shared" si="105"/>
        <v>4.0696240601503764</v>
      </c>
      <c r="V98" s="222">
        <f t="shared" si="106"/>
        <v>3.9865705079024094</v>
      </c>
      <c r="W98" s="202">
        <f t="shared" si="107"/>
        <v>350</v>
      </c>
      <c r="X98" s="453">
        <f t="shared" si="144"/>
        <v>124.12808448861782</v>
      </c>
      <c r="Z98" s="222">
        <f t="shared" si="108"/>
        <v>0.41237113402061859</v>
      </c>
      <c r="AA98" s="178">
        <f t="shared" si="109"/>
        <v>1.4138438880706923</v>
      </c>
      <c r="AB98" s="178">
        <f t="shared" si="110"/>
        <v>0.20405994260814117</v>
      </c>
      <c r="AC98" s="178"/>
      <c r="AD98" s="178">
        <f t="shared" si="111"/>
        <v>0.99428571428571422</v>
      </c>
      <c r="AE98" s="562">
        <f t="shared" si="112"/>
        <v>1290.1307966706308</v>
      </c>
      <c r="AF98" s="545">
        <f t="shared" si="113"/>
        <v>0.10091999999999998</v>
      </c>
      <c r="AH98" s="178">
        <f t="shared" si="114"/>
        <v>0.67491496062958389</v>
      </c>
      <c r="AI98" s="178">
        <f t="shared" si="115"/>
        <v>1.1627497314715363</v>
      </c>
      <c r="AJ98" s="178">
        <f t="shared" si="116"/>
        <v>1.8464812825715082</v>
      </c>
      <c r="AL98" s="562">
        <f t="shared" si="117"/>
        <v>372.00000000000006</v>
      </c>
      <c r="AM98" s="471">
        <f t="shared" si="118"/>
        <v>124.12808448861782</v>
      </c>
      <c r="AO98">
        <f t="shared" si="145"/>
        <v>372.00000000000006</v>
      </c>
      <c r="AP98">
        <f t="shared" si="119"/>
        <v>124.12808448861782</v>
      </c>
      <c r="AR98" s="5">
        <f t="shared" si="146"/>
        <v>8.0561945680527849</v>
      </c>
      <c r="AS98" s="5">
        <f t="shared" si="120"/>
        <v>4.0696240601503764</v>
      </c>
      <c r="AT98" s="5">
        <f t="shared" si="147"/>
        <v>3.9865705079024085</v>
      </c>
      <c r="AU98" s="178">
        <f t="shared" si="148"/>
        <v>0.50515463917525782</v>
      </c>
      <c r="AW98" s="5">
        <f t="shared" si="121"/>
        <v>12.615834586466168</v>
      </c>
      <c r="AX98" s="5">
        <f t="shared" si="122"/>
        <v>6.3079172932330838</v>
      </c>
      <c r="AY98" s="5">
        <f t="shared" si="123"/>
        <v>0.65044045128934025</v>
      </c>
      <c r="AZ98" s="5"/>
      <c r="BA98" s="178">
        <f t="shared" si="149"/>
        <v>0.47713117478453376</v>
      </c>
      <c r="BB98" s="178">
        <f t="shared" si="124"/>
        <v>0.94447478468781554</v>
      </c>
      <c r="BC98" s="178">
        <f t="shared" si="125"/>
        <v>0.47223739234390777</v>
      </c>
      <c r="BD98" s="178"/>
      <c r="BE98" s="545">
        <f t="shared" si="126"/>
        <v>7.9678955282944247E-2</v>
      </c>
      <c r="BF98" s="545">
        <f t="shared" si="127"/>
        <v>5.2500000000000012E-2</v>
      </c>
      <c r="BG98" s="545">
        <f t="shared" si="128"/>
        <v>1.5516010561077225E-3</v>
      </c>
      <c r="BH98" s="545">
        <f t="shared" si="129"/>
        <v>1.4599014336917564E-2</v>
      </c>
      <c r="BI98">
        <f t="shared" si="130"/>
        <v>6.96E-3</v>
      </c>
      <c r="BJ98">
        <f t="shared" si="131"/>
        <v>0.15969865211605258</v>
      </c>
      <c r="BK98" s="471">
        <f t="shared" si="150"/>
        <v>159.69865211605259</v>
      </c>
      <c r="BL98" s="178">
        <f t="shared" si="132"/>
        <v>0.11160000000000002</v>
      </c>
      <c r="BM98" s="178">
        <f t="shared" si="133"/>
        <v>5.5800000000000009E-2</v>
      </c>
      <c r="BN98" s="545"/>
      <c r="BP98" s="471">
        <f t="shared" si="151"/>
        <v>167.40000000000003</v>
      </c>
      <c r="BQ98" s="545">
        <f t="shared" si="134"/>
        <v>2.1627145005370586E-2</v>
      </c>
      <c r="BR98" s="545">
        <f t="shared" si="135"/>
        <v>8.0282935701998598E-2</v>
      </c>
      <c r="BS98" s="545">
        <f t="shared" si="136"/>
        <v>2.2300815472777388E-2</v>
      </c>
      <c r="BT98" s="545">
        <f t="shared" si="137"/>
        <v>1.2512980214660069E-2</v>
      </c>
      <c r="BU98" s="545">
        <f t="shared" si="138"/>
        <v>0.13809611981894357</v>
      </c>
      <c r="BV98" s="655">
        <f t="shared" si="139"/>
        <v>3.7759398496240618E-2</v>
      </c>
      <c r="BW98" s="471">
        <f t="shared" si="152"/>
        <v>175.85551831518421</v>
      </c>
      <c r="BX98" s="178">
        <f t="shared" si="153"/>
        <v>0.5029541704312368</v>
      </c>
      <c r="BY98" s="5">
        <f t="shared" si="154"/>
        <v>6.6960000000000006</v>
      </c>
      <c r="BZ98" s="178">
        <f t="shared" si="155"/>
        <v>0.93013510594399174</v>
      </c>
      <c r="CA98" s="5">
        <f t="shared" si="156"/>
        <v>93.013510594399179</v>
      </c>
      <c r="CB98">
        <f t="shared" si="157"/>
        <v>93</v>
      </c>
      <c r="CD98" s="580">
        <f t="shared" si="140"/>
        <v>-50</v>
      </c>
      <c r="CE98">
        <f t="shared" si="141"/>
        <v>-50</v>
      </c>
    </row>
    <row r="99" spans="5:83" x14ac:dyDescent="0.2">
      <c r="E99" s="175">
        <v>94</v>
      </c>
      <c r="F99" s="222">
        <f t="shared" si="158"/>
        <v>0.376</v>
      </c>
      <c r="G99" s="222">
        <f t="shared" si="142"/>
        <v>0.188</v>
      </c>
      <c r="H99" s="222">
        <f t="shared" si="95"/>
        <v>4.5120000000000005</v>
      </c>
      <c r="I99" s="222">
        <f t="shared" si="159"/>
        <v>2.2560000000000002</v>
      </c>
      <c r="J99" s="558">
        <f t="shared" si="96"/>
        <v>24</v>
      </c>
      <c r="K99" s="453">
        <f t="shared" si="97"/>
        <v>24.5</v>
      </c>
      <c r="L99" s="453">
        <f t="shared" si="98"/>
        <v>48.5</v>
      </c>
      <c r="M99" s="453"/>
      <c r="N99" s="222">
        <f t="shared" si="99"/>
        <v>0.50515463917525771</v>
      </c>
      <c r="O99" s="177">
        <f t="shared" si="143"/>
        <v>5.5668041237113393</v>
      </c>
      <c r="P99" s="177">
        <f t="shared" si="100"/>
        <v>4.1751030927835044</v>
      </c>
      <c r="Q99" s="222">
        <f t="shared" si="101"/>
        <v>0.46390034364261162</v>
      </c>
      <c r="R99" s="222">
        <f t="shared" si="102"/>
        <v>0.46390034364261162</v>
      </c>
      <c r="S99" s="453">
        <f t="shared" si="103"/>
        <v>12</v>
      </c>
      <c r="T99" s="222">
        <f t="shared" si="104"/>
        <v>1.1752524167561764</v>
      </c>
      <c r="U99" s="222">
        <f t="shared" si="105"/>
        <v>4.1133834586466174</v>
      </c>
      <c r="V99" s="222">
        <f t="shared" si="106"/>
        <v>4.0294368574497472</v>
      </c>
      <c r="W99" s="202">
        <f t="shared" si="107"/>
        <v>350</v>
      </c>
      <c r="X99" s="453">
        <f t="shared" si="144"/>
        <v>122.80757295150482</v>
      </c>
      <c r="Z99" s="222">
        <f t="shared" si="108"/>
        <v>0.41237113402061859</v>
      </c>
      <c r="AA99" s="178">
        <f t="shared" si="109"/>
        <v>1.4138438880706923</v>
      </c>
      <c r="AB99" s="178">
        <f t="shared" si="110"/>
        <v>0.20405994260814117</v>
      </c>
      <c r="AC99" s="178"/>
      <c r="AD99" s="178">
        <f t="shared" si="111"/>
        <v>0.99428571428571422</v>
      </c>
      <c r="AE99" s="562">
        <f t="shared" si="112"/>
        <v>1304.0031708283793</v>
      </c>
      <c r="AF99" s="545">
        <f t="shared" si="113"/>
        <v>0.10091999999999998</v>
      </c>
      <c r="AH99" s="178">
        <f t="shared" si="114"/>
        <v>0.67853383354502395</v>
      </c>
      <c r="AI99" s="178">
        <f t="shared" si="115"/>
        <v>1.1752524167561764</v>
      </c>
      <c r="AJ99" s="178">
        <f t="shared" si="116"/>
        <v>1.8557425309305009</v>
      </c>
      <c r="AL99" s="562">
        <f t="shared" si="117"/>
        <v>376</v>
      </c>
      <c r="AM99" s="471">
        <f t="shared" si="118"/>
        <v>122.80757295150482</v>
      </c>
      <c r="AO99">
        <f t="shared" si="145"/>
        <v>376</v>
      </c>
      <c r="AP99">
        <f t="shared" si="119"/>
        <v>122.80757295150482</v>
      </c>
      <c r="AR99" s="5">
        <f t="shared" si="146"/>
        <v>8.1428203160963655</v>
      </c>
      <c r="AS99" s="5">
        <f t="shared" si="120"/>
        <v>4.1133834586466174</v>
      </c>
      <c r="AT99" s="5">
        <f t="shared" si="147"/>
        <v>4.0294368574497481</v>
      </c>
      <c r="AU99" s="178">
        <f t="shared" si="148"/>
        <v>0.50515463917525771</v>
      </c>
      <c r="AW99" s="5">
        <f t="shared" si="121"/>
        <v>12.8886015037594</v>
      </c>
      <c r="AX99" s="5">
        <f t="shared" si="122"/>
        <v>6.4443007518797</v>
      </c>
      <c r="AY99" s="5">
        <f t="shared" si="123"/>
        <v>0.66450362210574798</v>
      </c>
      <c r="AZ99" s="5"/>
      <c r="BA99" s="178">
        <f t="shared" si="149"/>
        <v>0.48226161752415231</v>
      </c>
      <c r="BB99" s="178">
        <f t="shared" si="124"/>
        <v>0.95463042753392124</v>
      </c>
      <c r="BC99" s="178">
        <f t="shared" si="125"/>
        <v>0.47731521376696062</v>
      </c>
      <c r="BD99" s="178"/>
      <c r="BE99" s="545">
        <f t="shared" si="126"/>
        <v>8.1401693707954109E-2</v>
      </c>
      <c r="BF99" s="545">
        <f t="shared" si="127"/>
        <v>5.2499999999999991E-2</v>
      </c>
      <c r="BG99" s="545">
        <f t="shared" si="128"/>
        <v>1.5350946618938102E-3</v>
      </c>
      <c r="BH99" s="545">
        <f t="shared" si="129"/>
        <v>1.4443705673758862E-2</v>
      </c>
      <c r="BI99">
        <f t="shared" si="130"/>
        <v>6.96E-3</v>
      </c>
      <c r="BJ99">
        <f t="shared" si="131"/>
        <v>0.16139268559662218</v>
      </c>
      <c r="BK99" s="471">
        <f t="shared" si="150"/>
        <v>161.39268559662219</v>
      </c>
      <c r="BL99" s="178">
        <f t="shared" si="132"/>
        <v>0.1128</v>
      </c>
      <c r="BM99" s="178">
        <f t="shared" si="133"/>
        <v>5.6399999999999999E-2</v>
      </c>
      <c r="BN99" s="545"/>
      <c r="BP99" s="471">
        <f t="shared" si="151"/>
        <v>169.2</v>
      </c>
      <c r="BQ99" s="545">
        <f t="shared" si="134"/>
        <v>2.2094745435016116E-2</v>
      </c>
      <c r="BR99" s="545">
        <f t="shared" si="135"/>
        <v>8.2018732785623757E-2</v>
      </c>
      <c r="BS99" s="545">
        <f t="shared" si="136"/>
        <v>2.2782981329339935E-2</v>
      </c>
      <c r="BT99" s="545">
        <f t="shared" si="137"/>
        <v>1.2512980214660087E-2</v>
      </c>
      <c r="BU99" s="545">
        <f t="shared" si="138"/>
        <v>0.14083919942648584</v>
      </c>
      <c r="BV99" s="655">
        <f t="shared" si="139"/>
        <v>3.8165413533834597E-2</v>
      </c>
      <c r="BW99" s="471">
        <f t="shared" si="152"/>
        <v>179.00461296032043</v>
      </c>
      <c r="BX99" s="178">
        <f t="shared" si="153"/>
        <v>0.50959729855694269</v>
      </c>
      <c r="BY99" s="5">
        <f t="shared" si="154"/>
        <v>6.7680000000000007</v>
      </c>
      <c r="BZ99" s="178">
        <f t="shared" si="155"/>
        <v>0.92997726067393294</v>
      </c>
      <c r="CA99" s="5">
        <f t="shared" si="156"/>
        <v>92.997726067393288</v>
      </c>
      <c r="CB99">
        <f t="shared" si="157"/>
        <v>94</v>
      </c>
      <c r="CD99" s="580">
        <f t="shared" si="140"/>
        <v>-50</v>
      </c>
      <c r="CE99">
        <f t="shared" si="141"/>
        <v>-50</v>
      </c>
    </row>
    <row r="100" spans="5:83" x14ac:dyDescent="0.2">
      <c r="E100" s="175">
        <v>95</v>
      </c>
      <c r="F100" s="222">
        <f t="shared" si="158"/>
        <v>0.38</v>
      </c>
      <c r="G100" s="222">
        <f t="shared" si="142"/>
        <v>0.19</v>
      </c>
      <c r="H100" s="222">
        <f t="shared" si="95"/>
        <v>4.5600000000000005</v>
      </c>
      <c r="I100" s="222">
        <f t="shared" si="159"/>
        <v>2.2800000000000002</v>
      </c>
      <c r="J100" s="558">
        <f t="shared" si="96"/>
        <v>24</v>
      </c>
      <c r="K100" s="453">
        <f t="shared" si="97"/>
        <v>24.5</v>
      </c>
      <c r="L100" s="453">
        <f t="shared" si="98"/>
        <v>48.5</v>
      </c>
      <c r="M100" s="453"/>
      <c r="N100" s="222">
        <f t="shared" si="99"/>
        <v>0.50515463917525771</v>
      </c>
      <c r="O100" s="177">
        <f t="shared" si="143"/>
        <v>5.5668041237113393</v>
      </c>
      <c r="P100" s="177">
        <f t="shared" si="100"/>
        <v>4.1751030927835044</v>
      </c>
      <c r="Q100" s="222">
        <f t="shared" si="101"/>
        <v>0.46390034364261162</v>
      </c>
      <c r="R100" s="222">
        <f t="shared" si="102"/>
        <v>0.46390034364261162</v>
      </c>
      <c r="S100" s="453">
        <f t="shared" si="103"/>
        <v>12</v>
      </c>
      <c r="T100" s="222">
        <f t="shared" si="104"/>
        <v>1.1877551020408166</v>
      </c>
      <c r="U100" s="222">
        <f t="shared" si="105"/>
        <v>4.1571428571428584</v>
      </c>
      <c r="V100" s="222">
        <f t="shared" si="106"/>
        <v>4.0723032069970859</v>
      </c>
      <c r="W100" s="202">
        <f t="shared" si="107"/>
        <v>350</v>
      </c>
      <c r="X100" s="453">
        <f t="shared" si="144"/>
        <v>121.51486165727846</v>
      </c>
      <c r="Z100" s="222">
        <f t="shared" si="108"/>
        <v>0.41237113402061859</v>
      </c>
      <c r="AA100" s="178">
        <f t="shared" si="109"/>
        <v>1.4138438880706923</v>
      </c>
      <c r="AB100" s="178">
        <f t="shared" si="110"/>
        <v>0.20405994260814117</v>
      </c>
      <c r="AC100" s="178"/>
      <c r="AD100" s="178">
        <f t="shared" si="111"/>
        <v>0.99428571428571422</v>
      </c>
      <c r="AE100" s="562">
        <f t="shared" si="112"/>
        <v>1317.8755449861278</v>
      </c>
      <c r="AF100" s="545">
        <f t="shared" si="113"/>
        <v>0.10091999999999998</v>
      </c>
      <c r="AH100" s="178">
        <f t="shared" si="114"/>
        <v>0.68213350778933279</v>
      </c>
      <c r="AI100" s="178">
        <f t="shared" si="115"/>
        <v>1.1877551020408166</v>
      </c>
      <c r="AJ100" s="178">
        <f t="shared" si="116"/>
        <v>1.8650037792894936</v>
      </c>
      <c r="AL100" s="562">
        <f t="shared" si="117"/>
        <v>380</v>
      </c>
      <c r="AM100" s="471">
        <f t="shared" si="118"/>
        <v>121.51486165727846</v>
      </c>
      <c r="AO100">
        <f t="shared" si="145"/>
        <v>380</v>
      </c>
      <c r="AP100">
        <f t="shared" si="119"/>
        <v>121.51486165727846</v>
      </c>
      <c r="AR100" s="5">
        <f t="shared" si="146"/>
        <v>8.2294460641399443</v>
      </c>
      <c r="AS100" s="5">
        <f t="shared" si="120"/>
        <v>4.1571428571428584</v>
      </c>
      <c r="AT100" s="5">
        <f t="shared" si="147"/>
        <v>4.0723032069970859</v>
      </c>
      <c r="AU100" s="178">
        <f t="shared" si="148"/>
        <v>0.50515463917525771</v>
      </c>
      <c r="AW100" s="5">
        <f t="shared" si="121"/>
        <v>13.164285714285718</v>
      </c>
      <c r="AX100" s="5">
        <f t="shared" si="122"/>
        <v>6.5821428571428591</v>
      </c>
      <c r="AY100" s="5">
        <f t="shared" si="123"/>
        <v>0.67871720116618095</v>
      </c>
      <c r="AZ100" s="5"/>
      <c r="BA100" s="178">
        <f t="shared" si="149"/>
        <v>0.48739206026377097</v>
      </c>
      <c r="BB100" s="178">
        <f t="shared" si="124"/>
        <v>0.96478607038002673</v>
      </c>
      <c r="BC100" s="178">
        <f t="shared" si="125"/>
        <v>0.48239303519001336</v>
      </c>
      <c r="BD100" s="178"/>
      <c r="BE100" s="545">
        <f t="shared" si="126"/>
        <v>8.3142857142857157E-2</v>
      </c>
      <c r="BF100" s="545">
        <f t="shared" si="127"/>
        <v>5.2499999999999998E-2</v>
      </c>
      <c r="BG100" s="545">
        <f t="shared" si="128"/>
        <v>1.5189357707159805E-3</v>
      </c>
      <c r="BH100" s="545">
        <f t="shared" si="129"/>
        <v>1.4291666666666664E-2</v>
      </c>
      <c r="BI100">
        <f t="shared" si="130"/>
        <v>6.96E-3</v>
      </c>
      <c r="BJ100">
        <f t="shared" si="131"/>
        <v>0.16311256959778228</v>
      </c>
      <c r="BK100" s="471">
        <f t="shared" si="150"/>
        <v>163.11256959778228</v>
      </c>
      <c r="BL100" s="178">
        <f t="shared" si="132"/>
        <v>0.11399999999999999</v>
      </c>
      <c r="BM100" s="178">
        <f t="shared" si="133"/>
        <v>5.6999999999999995E-2</v>
      </c>
      <c r="BN100" s="545"/>
      <c r="BP100" s="471">
        <f t="shared" si="151"/>
        <v>170.99999999999997</v>
      </c>
      <c r="BQ100" s="545">
        <f t="shared" si="134"/>
        <v>2.2567346938775518E-2</v>
      </c>
      <c r="BR100" s="545">
        <f t="shared" si="135"/>
        <v>8.3773094543940052E-2</v>
      </c>
      <c r="BS100" s="545">
        <f t="shared" si="136"/>
        <v>2.3270304039983349E-2</v>
      </c>
      <c r="BT100" s="545">
        <f t="shared" si="137"/>
        <v>1.2512980214660074E-2</v>
      </c>
      <c r="BU100" s="545">
        <f t="shared" si="138"/>
        <v>0.14361282698311126</v>
      </c>
      <c r="BV100" s="655">
        <f t="shared" si="139"/>
        <v>3.8571428571428576E-2</v>
      </c>
      <c r="BW100" s="471">
        <f t="shared" si="152"/>
        <v>182.18425555453982</v>
      </c>
      <c r="BX100" s="178">
        <f t="shared" si="153"/>
        <v>0.51629682515232211</v>
      </c>
      <c r="BY100" s="5">
        <f t="shared" si="154"/>
        <v>6.8400000000000007</v>
      </c>
      <c r="BZ100" s="178">
        <f t="shared" si="155"/>
        <v>0.92981566168088503</v>
      </c>
      <c r="CA100" s="5">
        <f t="shared" si="156"/>
        <v>92.981566168088506</v>
      </c>
      <c r="CB100">
        <f t="shared" si="157"/>
        <v>95</v>
      </c>
      <c r="CD100" s="580">
        <f t="shared" si="140"/>
        <v>-50</v>
      </c>
      <c r="CE100">
        <f t="shared" si="141"/>
        <v>-50</v>
      </c>
    </row>
    <row r="101" spans="5:83" x14ac:dyDescent="0.2">
      <c r="E101" s="175">
        <v>96</v>
      </c>
      <c r="F101" s="222">
        <f t="shared" si="158"/>
        <v>0.38400000000000001</v>
      </c>
      <c r="G101" s="222">
        <f t="shared" si="142"/>
        <v>0.192</v>
      </c>
      <c r="H101" s="222">
        <f t="shared" si="95"/>
        <v>4.6080000000000005</v>
      </c>
      <c r="I101" s="222">
        <f t="shared" si="159"/>
        <v>2.3040000000000003</v>
      </c>
      <c r="J101" s="558">
        <f t="shared" si="96"/>
        <v>24</v>
      </c>
      <c r="K101" s="453">
        <f t="shared" si="97"/>
        <v>24.5</v>
      </c>
      <c r="L101" s="453">
        <f t="shared" si="98"/>
        <v>48.5</v>
      </c>
      <c r="M101" s="453"/>
      <c r="N101" s="222">
        <f t="shared" si="99"/>
        <v>0.50515463917525771</v>
      </c>
      <c r="O101" s="177">
        <f t="shared" si="143"/>
        <v>5.5668041237113393</v>
      </c>
      <c r="P101" s="177">
        <f t="shared" si="100"/>
        <v>4.1751030927835044</v>
      </c>
      <c r="Q101" s="222">
        <f t="shared" si="101"/>
        <v>0.46390034364261162</v>
      </c>
      <c r="R101" s="222">
        <f t="shared" si="102"/>
        <v>0.46390034364261162</v>
      </c>
      <c r="S101" s="453">
        <f t="shared" si="103"/>
        <v>12</v>
      </c>
      <c r="T101" s="222">
        <f t="shared" si="104"/>
        <v>1.2002577873254567</v>
      </c>
      <c r="U101" s="222">
        <f t="shared" si="105"/>
        <v>4.2009022556390985</v>
      </c>
      <c r="V101" s="222">
        <f t="shared" si="106"/>
        <v>4.1151695565444228</v>
      </c>
      <c r="W101" s="202">
        <f t="shared" si="107"/>
        <v>350</v>
      </c>
      <c r="X101" s="453">
        <f t="shared" si="144"/>
        <v>120.24908184834848</v>
      </c>
      <c r="Z101" s="222">
        <f t="shared" si="108"/>
        <v>0.41237113402061859</v>
      </c>
      <c r="AA101" s="178">
        <f t="shared" si="109"/>
        <v>1.4138438880706923</v>
      </c>
      <c r="AB101" s="178">
        <f t="shared" ref="AB101:AB105" si="160">0.5*AA101*Z101*Nps*W101/1000*(Pout/Pout_total)</f>
        <v>0.20405994260814117</v>
      </c>
      <c r="AC101" s="178"/>
      <c r="AD101" s="178">
        <f t="shared" si="111"/>
        <v>0.99428571428571422</v>
      </c>
      <c r="AE101" s="562">
        <f t="shared" ref="AE101:AE105" si="161">MAX(10, F101/(0.5*AD101/1000000*Isw_min*Nps)/1000*Pout_total/Pout)</f>
        <v>1331.7479191438767</v>
      </c>
      <c r="AF101" s="545">
        <f t="shared" si="113"/>
        <v>0.10091999999999998</v>
      </c>
      <c r="AH101" s="178">
        <f t="shared" si="114"/>
        <v>0.68571428571428583</v>
      </c>
      <c r="AI101" s="178">
        <f t="shared" ref="AI101:AI105" si="162">MAX(IF(F101&gt;AB101,T101,AH101),Isw_min)</f>
        <v>1.2002577873254567</v>
      </c>
      <c r="AJ101" s="178">
        <f t="shared" ref="AJ101:AJ105" si="163">IF(F101&gt;AF101, (AI101-Isw_min)/1.08*0.8+1.2, AE101*0.2/350+1)</f>
        <v>1.8742650276484865</v>
      </c>
      <c r="AL101" s="562">
        <f t="shared" si="117"/>
        <v>384</v>
      </c>
      <c r="AM101" s="471">
        <f t="shared" si="118"/>
        <v>120.24908184834848</v>
      </c>
      <c r="AO101">
        <f t="shared" si="145"/>
        <v>384</v>
      </c>
      <c r="AP101">
        <f t="shared" si="119"/>
        <v>120.24908184834848</v>
      </c>
      <c r="AR101" s="5">
        <f t="shared" si="146"/>
        <v>8.3160718121835213</v>
      </c>
      <c r="AS101" s="5">
        <f t="shared" si="120"/>
        <v>4.2009022556390985</v>
      </c>
      <c r="AT101" s="5">
        <f t="shared" si="147"/>
        <v>4.1151695565444228</v>
      </c>
      <c r="AU101" s="178">
        <f t="shared" si="148"/>
        <v>0.50515463917525771</v>
      </c>
      <c r="AW101" s="5">
        <f t="shared" si="121"/>
        <v>13.442887218045115</v>
      </c>
      <c r="AX101" s="5">
        <f t="shared" si="122"/>
        <v>6.7214436090225576</v>
      </c>
      <c r="AY101" s="5">
        <f t="shared" si="123"/>
        <v>0.69308118847063971</v>
      </c>
      <c r="AZ101" s="5"/>
      <c r="BA101" s="178">
        <f t="shared" si="149"/>
        <v>0.49252250300338962</v>
      </c>
      <c r="BB101" s="178">
        <f t="shared" si="124"/>
        <v>0.97494171322613232</v>
      </c>
      <c r="BC101" s="178">
        <f t="shared" si="125"/>
        <v>0.48747085661306616</v>
      </c>
      <c r="BD101" s="178"/>
      <c r="BE101" s="545">
        <f t="shared" si="126"/>
        <v>8.4902445587653377E-2</v>
      </c>
      <c r="BF101" s="545">
        <f t="shared" si="127"/>
        <v>5.2499999999999998E-2</v>
      </c>
      <c r="BG101" s="545">
        <f t="shared" si="128"/>
        <v>1.503113523104356E-3</v>
      </c>
      <c r="BH101" s="545">
        <f t="shared" si="129"/>
        <v>1.4142795138888886E-2</v>
      </c>
      <c r="BI101">
        <f t="shared" si="130"/>
        <v>6.96E-3</v>
      </c>
      <c r="BJ101">
        <f t="shared" ref="BJ101:BJ105" si="164">(BF101+BG101+BH101+BI101+BE101*(1+RdsonTC*(Ta-25)))/(1-BE101*RdsonTC*ThetaJA)</f>
        <v>0.16485826980220591</v>
      </c>
      <c r="BK101" s="471">
        <f t="shared" si="150"/>
        <v>164.85826980220591</v>
      </c>
      <c r="BL101" s="178">
        <f t="shared" si="132"/>
        <v>0.1152</v>
      </c>
      <c r="BM101" s="178">
        <f t="shared" si="133"/>
        <v>5.7599999999999998E-2</v>
      </c>
      <c r="BN101" s="545"/>
      <c r="BP101" s="471">
        <f t="shared" si="151"/>
        <v>172.8</v>
      </c>
      <c r="BQ101" s="545">
        <f t="shared" si="134"/>
        <v>2.3044949516648774E-2</v>
      </c>
      <c r="BR101" s="545">
        <f t="shared" si="135"/>
        <v>8.5546020976947537E-2</v>
      </c>
      <c r="BS101" s="545">
        <f t="shared" si="136"/>
        <v>2.3762783604707655E-2</v>
      </c>
      <c r="BT101" s="545">
        <f t="shared" si="137"/>
        <v>1.2512980214660085E-2</v>
      </c>
      <c r="BU101" s="545">
        <f t="shared" ref="BU101:BU105" si="165">(BT101+(BQ101+BR101+BS101)*(1+Ltc*(Ta-25)))/(1-(BQ101+BR101+BS101)*Ltc*ThetaCa)</f>
        <v>0.14641704192599397</v>
      </c>
      <c r="BV101" s="655">
        <f t="shared" si="139"/>
        <v>3.8977443609022569E-2</v>
      </c>
      <c r="BW101" s="471">
        <f t="shared" si="152"/>
        <v>185.39448553501654</v>
      </c>
      <c r="BX101" s="178">
        <f t="shared" si="153"/>
        <v>0.52305275533722251</v>
      </c>
      <c r="BY101" s="5">
        <f t="shared" si="154"/>
        <v>6.9120000000000008</v>
      </c>
      <c r="BZ101" s="178">
        <f t="shared" si="155"/>
        <v>0.92965043120080737</v>
      </c>
      <c r="CA101" s="5">
        <f t="shared" si="156"/>
        <v>92.965043120080736</v>
      </c>
      <c r="CB101">
        <f t="shared" si="157"/>
        <v>96</v>
      </c>
      <c r="CD101" s="580">
        <f t="shared" si="140"/>
        <v>-50</v>
      </c>
      <c r="CE101">
        <f t="shared" si="141"/>
        <v>-50</v>
      </c>
    </row>
    <row r="102" spans="5:83" x14ac:dyDescent="0.2">
      <c r="E102" s="175">
        <v>97</v>
      </c>
      <c r="F102" s="222">
        <f t="shared" si="158"/>
        <v>0.38800000000000001</v>
      </c>
      <c r="G102" s="222">
        <f t="shared" si="142"/>
        <v>0.19400000000000001</v>
      </c>
      <c r="H102" s="222">
        <f t="shared" si="95"/>
        <v>4.6560000000000006</v>
      </c>
      <c r="I102" s="222">
        <f t="shared" si="159"/>
        <v>2.3280000000000003</v>
      </c>
      <c r="J102" s="558">
        <f t="shared" si="96"/>
        <v>24</v>
      </c>
      <c r="K102" s="453">
        <f t="shared" si="97"/>
        <v>24.5</v>
      </c>
      <c r="L102" s="453">
        <f t="shared" si="98"/>
        <v>48.5</v>
      </c>
      <c r="M102" s="453"/>
      <c r="N102" s="222">
        <f t="shared" si="99"/>
        <v>0.50515463917525771</v>
      </c>
      <c r="O102" s="177">
        <f t="shared" ref="O102:O105" si="166">N102*J102*Isw_max*0.5*Efficiency*Pout/(Pout+Pout2)</f>
        <v>5.5668041237113393</v>
      </c>
      <c r="P102" s="177">
        <f t="shared" si="100"/>
        <v>4.1751030927835044</v>
      </c>
      <c r="Q102" s="222">
        <f t="shared" si="101"/>
        <v>0.46390034364261162</v>
      </c>
      <c r="R102" s="222">
        <f t="shared" si="102"/>
        <v>0.46390034364261162</v>
      </c>
      <c r="S102" s="453">
        <f t="shared" si="103"/>
        <v>12</v>
      </c>
      <c r="T102" s="222">
        <f t="shared" si="104"/>
        <v>1.2127604726100971</v>
      </c>
      <c r="U102" s="222">
        <f t="shared" si="105"/>
        <v>4.2446616541353404</v>
      </c>
      <c r="V102" s="222">
        <f t="shared" si="106"/>
        <v>4.1580359060917607</v>
      </c>
      <c r="W102" s="202">
        <f t="shared" si="107"/>
        <v>350</v>
      </c>
      <c r="X102" s="453">
        <f t="shared" si="144"/>
        <v>119.00940059217994</v>
      </c>
      <c r="Z102" s="222">
        <f t="shared" si="108"/>
        <v>0.41237113402061859</v>
      </c>
      <c r="AA102" s="178">
        <f t="shared" si="109"/>
        <v>1.4138438880706923</v>
      </c>
      <c r="AB102" s="178">
        <f t="shared" si="160"/>
        <v>0.20405994260814117</v>
      </c>
      <c r="AC102" s="178"/>
      <c r="AD102" s="178">
        <f t="shared" si="111"/>
        <v>0.99428571428571422</v>
      </c>
      <c r="AE102" s="562">
        <f t="shared" si="161"/>
        <v>1345.6202933016255</v>
      </c>
      <c r="AF102" s="545">
        <f t="shared" si="113"/>
        <v>0.10091999999999998</v>
      </c>
      <c r="AH102" s="178">
        <f t="shared" si="114"/>
        <v>0.68927646181798974</v>
      </c>
      <c r="AI102" s="178">
        <f t="shared" si="162"/>
        <v>1.2127604726100971</v>
      </c>
      <c r="AJ102" s="178">
        <f t="shared" si="163"/>
        <v>1.8835262760074793</v>
      </c>
      <c r="AL102" s="562">
        <f t="shared" si="117"/>
        <v>388</v>
      </c>
      <c r="AM102" s="471">
        <f t="shared" si="118"/>
        <v>119.00940059217994</v>
      </c>
      <c r="AO102">
        <f t="shared" si="145"/>
        <v>388</v>
      </c>
      <c r="AP102">
        <f t="shared" si="119"/>
        <v>119.00940059217994</v>
      </c>
      <c r="AR102" s="5">
        <f t="shared" si="146"/>
        <v>8.4026975602271001</v>
      </c>
      <c r="AS102" s="5">
        <f t="shared" si="120"/>
        <v>4.2446616541353404</v>
      </c>
      <c r="AT102" s="5">
        <f t="shared" si="147"/>
        <v>4.1580359060917598</v>
      </c>
      <c r="AU102" s="178">
        <f t="shared" si="148"/>
        <v>0.50515463917525782</v>
      </c>
      <c r="AW102" s="5">
        <f t="shared" si="121"/>
        <v>13.724406015037601</v>
      </c>
      <c r="AX102" s="5">
        <f t="shared" si="122"/>
        <v>6.8622030075188007</v>
      </c>
      <c r="AY102" s="5">
        <f t="shared" si="123"/>
        <v>0.70759558401912404</v>
      </c>
      <c r="AZ102" s="5"/>
      <c r="BA102" s="178">
        <f t="shared" si="149"/>
        <v>0.49765294574300839</v>
      </c>
      <c r="BB102" s="178">
        <f t="shared" si="124"/>
        <v>0.98509735607223792</v>
      </c>
      <c r="BC102" s="178">
        <f t="shared" si="125"/>
        <v>0.49254867803611896</v>
      </c>
      <c r="BD102" s="178"/>
      <c r="BE102" s="545">
        <f t="shared" si="126"/>
        <v>8.668045904234277E-2</v>
      </c>
      <c r="BF102" s="545">
        <f t="shared" si="127"/>
        <v>5.2500000000000012E-2</v>
      </c>
      <c r="BG102" s="545">
        <f t="shared" si="128"/>
        <v>1.4876175074022492E-3</v>
      </c>
      <c r="BH102" s="545">
        <f t="shared" si="129"/>
        <v>1.3996993127147764E-2</v>
      </c>
      <c r="BI102">
        <f t="shared" si="130"/>
        <v>6.96E-3</v>
      </c>
      <c r="BJ102">
        <f t="shared" si="164"/>
        <v>0.16662975763188309</v>
      </c>
      <c r="BK102" s="471">
        <f t="shared" si="150"/>
        <v>166.62975763188308</v>
      </c>
      <c r="BL102" s="178">
        <f t="shared" si="132"/>
        <v>0.1164</v>
      </c>
      <c r="BM102" s="178">
        <f t="shared" si="133"/>
        <v>5.8200000000000002E-2</v>
      </c>
      <c r="BN102" s="545"/>
      <c r="BP102" s="471">
        <f t="shared" si="151"/>
        <v>174.6</v>
      </c>
      <c r="BQ102" s="545">
        <f t="shared" si="134"/>
        <v>2.3527553168635897E-2</v>
      </c>
      <c r="BR102" s="545">
        <f t="shared" si="135"/>
        <v>8.7337512084646213E-2</v>
      </c>
      <c r="BS102" s="545">
        <f t="shared" si="136"/>
        <v>2.4260420023512839E-2</v>
      </c>
      <c r="BT102" s="545">
        <f t="shared" si="137"/>
        <v>1.2512980214660085E-2</v>
      </c>
      <c r="BU102" s="545">
        <f t="shared" si="165"/>
        <v>0.14925188415343169</v>
      </c>
      <c r="BV102" s="655">
        <f t="shared" si="139"/>
        <v>3.9383458646616569E-2</v>
      </c>
      <c r="BW102" s="471">
        <f t="shared" si="152"/>
        <v>188.63534280004825</v>
      </c>
      <c r="BX102" s="178">
        <f t="shared" si="153"/>
        <v>0.52986510043193136</v>
      </c>
      <c r="BY102" s="5">
        <f t="shared" si="154"/>
        <v>6.9840000000000009</v>
      </c>
      <c r="BZ102" s="178">
        <f t="shared" si="155"/>
        <v>0.92948168574366974</v>
      </c>
      <c r="CA102" s="5">
        <f t="shared" si="156"/>
        <v>92.948168574366974</v>
      </c>
      <c r="CB102">
        <f t="shared" si="157"/>
        <v>97</v>
      </c>
      <c r="CD102" s="580">
        <f t="shared" si="140"/>
        <v>-50</v>
      </c>
      <c r="CE102">
        <f t="shared" si="141"/>
        <v>-50</v>
      </c>
    </row>
    <row r="103" spans="5:83" x14ac:dyDescent="0.2">
      <c r="E103" s="175">
        <v>98</v>
      </c>
      <c r="F103" s="222">
        <f t="shared" si="158"/>
        <v>0.39200000000000002</v>
      </c>
      <c r="G103" s="222">
        <f t="shared" si="142"/>
        <v>0.19600000000000001</v>
      </c>
      <c r="H103" s="222">
        <f t="shared" si="95"/>
        <v>4.7040000000000006</v>
      </c>
      <c r="I103" s="222">
        <f t="shared" si="159"/>
        <v>2.3520000000000003</v>
      </c>
      <c r="J103" s="558">
        <f t="shared" si="96"/>
        <v>24</v>
      </c>
      <c r="K103" s="453">
        <f t="shared" si="97"/>
        <v>24.5</v>
      </c>
      <c r="L103" s="453">
        <f t="shared" si="98"/>
        <v>48.5</v>
      </c>
      <c r="M103" s="453"/>
      <c r="N103" s="222">
        <f t="shared" si="99"/>
        <v>0.50515463917525771</v>
      </c>
      <c r="O103" s="177">
        <f t="shared" si="166"/>
        <v>5.5668041237113393</v>
      </c>
      <c r="P103" s="177">
        <f t="shared" si="100"/>
        <v>4.1751030927835044</v>
      </c>
      <c r="Q103" s="222">
        <f t="shared" si="101"/>
        <v>0.46390034364261162</v>
      </c>
      <c r="R103" s="222">
        <f t="shared" si="102"/>
        <v>0.46390034364261162</v>
      </c>
      <c r="S103" s="453">
        <f t="shared" si="103"/>
        <v>12</v>
      </c>
      <c r="T103" s="222">
        <f t="shared" si="104"/>
        <v>1.2252631578947373</v>
      </c>
      <c r="U103" s="222">
        <f t="shared" si="105"/>
        <v>4.2884210526315796</v>
      </c>
      <c r="V103" s="222">
        <f t="shared" si="106"/>
        <v>4.2009022556390985</v>
      </c>
      <c r="W103" s="202">
        <f t="shared" si="107"/>
        <v>350</v>
      </c>
      <c r="X103" s="453">
        <f t="shared" si="144"/>
        <v>117.79501895348425</v>
      </c>
      <c r="Z103" s="222">
        <f t="shared" si="108"/>
        <v>0.41237113402061859</v>
      </c>
      <c r="AA103" s="178">
        <f t="shared" si="109"/>
        <v>1.4138438880706923</v>
      </c>
      <c r="AB103" s="178">
        <f t="shared" si="160"/>
        <v>0.20405994260814117</v>
      </c>
      <c r="AC103" s="178"/>
      <c r="AD103" s="178">
        <f t="shared" si="111"/>
        <v>0.99428571428571422</v>
      </c>
      <c r="AE103" s="562">
        <f t="shared" si="161"/>
        <v>1359.4926674593742</v>
      </c>
      <c r="AF103" s="545">
        <f t="shared" si="113"/>
        <v>0.10091999999999998</v>
      </c>
      <c r="AH103" s="178">
        <f t="shared" si="114"/>
        <v>0.69282032302755103</v>
      </c>
      <c r="AI103" s="178">
        <f t="shared" si="162"/>
        <v>1.2252631578947373</v>
      </c>
      <c r="AJ103" s="178">
        <f t="shared" si="163"/>
        <v>1.892787524366472</v>
      </c>
      <c r="AL103" s="562">
        <f t="shared" si="117"/>
        <v>392</v>
      </c>
      <c r="AM103" s="471">
        <f t="shared" si="118"/>
        <v>117.79501895348425</v>
      </c>
      <c r="AO103">
        <f t="shared" si="145"/>
        <v>392</v>
      </c>
      <c r="AP103">
        <f t="shared" si="119"/>
        <v>117.79501895348425</v>
      </c>
      <c r="AR103" s="5">
        <f t="shared" si="146"/>
        <v>8.4893233082706789</v>
      </c>
      <c r="AS103" s="5">
        <f t="shared" si="120"/>
        <v>4.2884210526315796</v>
      </c>
      <c r="AT103" s="5">
        <f t="shared" si="147"/>
        <v>4.2009022556390994</v>
      </c>
      <c r="AU103" s="178">
        <f t="shared" si="148"/>
        <v>0.50515463917525771</v>
      </c>
      <c r="AW103" s="5">
        <f t="shared" si="121"/>
        <v>14.00884210526316</v>
      </c>
      <c r="AX103" s="5">
        <f t="shared" si="122"/>
        <v>7.0044210526315798</v>
      </c>
      <c r="AY103" s="5">
        <f t="shared" si="123"/>
        <v>0.7222603878116346</v>
      </c>
      <c r="AZ103" s="5"/>
      <c r="BA103" s="178">
        <f t="shared" si="149"/>
        <v>0.50278338848262694</v>
      </c>
      <c r="BB103" s="178">
        <f t="shared" si="124"/>
        <v>0.99525299891834351</v>
      </c>
      <c r="BC103" s="178">
        <f t="shared" si="125"/>
        <v>0.49762649945917176</v>
      </c>
      <c r="BD103" s="178"/>
      <c r="BE103" s="545">
        <f t="shared" si="126"/>
        <v>8.8476897506925237E-2</v>
      </c>
      <c r="BF103" s="545">
        <f t="shared" si="127"/>
        <v>5.2500000000000019E-2</v>
      </c>
      <c r="BG103" s="545">
        <f t="shared" si="128"/>
        <v>1.4724377369185529E-3</v>
      </c>
      <c r="BH103" s="545">
        <f t="shared" si="129"/>
        <v>1.3854166666666667E-2</v>
      </c>
      <c r="BI103">
        <f t="shared" si="130"/>
        <v>6.96E-3</v>
      </c>
      <c r="BJ103">
        <f t="shared" si="164"/>
        <v>0.16842701001894597</v>
      </c>
      <c r="BK103" s="471">
        <f t="shared" si="150"/>
        <v>168.42701001894596</v>
      </c>
      <c r="BL103" s="178">
        <f t="shared" si="132"/>
        <v>0.1176</v>
      </c>
      <c r="BM103" s="178">
        <f t="shared" si="133"/>
        <v>5.8799999999999998E-2</v>
      </c>
      <c r="BN103" s="545"/>
      <c r="BP103" s="471">
        <f t="shared" si="151"/>
        <v>176.4</v>
      </c>
      <c r="BQ103" s="545">
        <f t="shared" si="134"/>
        <v>2.4015157894736853E-2</v>
      </c>
      <c r="BR103" s="545">
        <f t="shared" si="135"/>
        <v>8.9147567867036065E-2</v>
      </c>
      <c r="BS103" s="545">
        <f t="shared" si="136"/>
        <v>2.4763213296398908E-2</v>
      </c>
      <c r="BT103" s="545">
        <f t="shared" si="137"/>
        <v>1.2512980214660083E-2</v>
      </c>
      <c r="BU103" s="545">
        <f t="shared" si="165"/>
        <v>0.15211739402628446</v>
      </c>
      <c r="BV103" s="655">
        <f t="shared" si="139"/>
        <v>3.9789473684210548E-2</v>
      </c>
      <c r="BW103" s="471">
        <f t="shared" si="152"/>
        <v>191.90686771049499</v>
      </c>
      <c r="BX103" s="178">
        <f t="shared" si="153"/>
        <v>0.53673387772944103</v>
      </c>
      <c r="BY103" s="5">
        <f t="shared" si="154"/>
        <v>7.0560000000000009</v>
      </c>
      <c r="BZ103" s="178">
        <f t="shared" si="155"/>
        <v>0.9293095364103624</v>
      </c>
      <c r="CA103" s="5">
        <f t="shared" si="156"/>
        <v>92.93095364103624</v>
      </c>
      <c r="CB103">
        <f t="shared" si="157"/>
        <v>98</v>
      </c>
      <c r="CD103" s="580">
        <f t="shared" si="140"/>
        <v>-50</v>
      </c>
      <c r="CE103">
        <f t="shared" si="141"/>
        <v>-50</v>
      </c>
    </row>
    <row r="104" spans="5:83" x14ac:dyDescent="0.2">
      <c r="E104" s="175">
        <v>99</v>
      </c>
      <c r="F104" s="222">
        <f t="shared" ref="F104:F105" si="167">IF(PLOT_TYPE=1, E104/100*Iout_max, min_I*EXP(O104*rr/100))</f>
        <v>0.39600000000000002</v>
      </c>
      <c r="G104" s="222">
        <f t="shared" si="142"/>
        <v>0.19800000000000001</v>
      </c>
      <c r="H104" s="222">
        <f t="shared" si="95"/>
        <v>4.7520000000000007</v>
      </c>
      <c r="I104" s="222">
        <f t="shared" si="159"/>
        <v>2.3760000000000003</v>
      </c>
      <c r="J104" s="558">
        <f t="shared" si="96"/>
        <v>24</v>
      </c>
      <c r="K104" s="453">
        <f t="shared" si="97"/>
        <v>24.5</v>
      </c>
      <c r="L104" s="453">
        <f t="shared" si="98"/>
        <v>48.5</v>
      </c>
      <c r="M104" s="453"/>
      <c r="N104" s="222">
        <f t="shared" si="99"/>
        <v>0.50515463917525771</v>
      </c>
      <c r="O104" s="177">
        <f t="shared" si="166"/>
        <v>5.5668041237113393</v>
      </c>
      <c r="P104" s="177">
        <f t="shared" si="100"/>
        <v>4.1751030927835044</v>
      </c>
      <c r="Q104" s="222">
        <f t="shared" si="101"/>
        <v>0.46390034364261162</v>
      </c>
      <c r="R104" s="222">
        <f t="shared" si="102"/>
        <v>0.46390034364261162</v>
      </c>
      <c r="S104" s="453">
        <f t="shared" si="103"/>
        <v>12</v>
      </c>
      <c r="T104" s="222">
        <f t="shared" si="104"/>
        <v>1.2377658431793774</v>
      </c>
      <c r="U104" s="222">
        <f t="shared" si="105"/>
        <v>4.3321804511278206</v>
      </c>
      <c r="V104" s="222">
        <f t="shared" si="106"/>
        <v>4.2437686051864363</v>
      </c>
      <c r="W104" s="202">
        <f t="shared" si="107"/>
        <v>350</v>
      </c>
      <c r="X104" s="453">
        <f t="shared" si="144"/>
        <v>116.60517027718639</v>
      </c>
      <c r="Z104" s="222">
        <f t="shared" si="108"/>
        <v>0.41237113402061859</v>
      </c>
      <c r="AA104" s="178">
        <f t="shared" si="109"/>
        <v>1.4138438880706923</v>
      </c>
      <c r="AB104" s="178">
        <f t="shared" si="160"/>
        <v>0.20405994260814117</v>
      </c>
      <c r="AC104" s="178"/>
      <c r="AD104" s="178">
        <f t="shared" si="111"/>
        <v>0.99428571428571422</v>
      </c>
      <c r="AE104" s="562">
        <f t="shared" si="161"/>
        <v>1373.3650416171229</v>
      </c>
      <c r="AF104" s="545">
        <f t="shared" si="113"/>
        <v>0.10091999999999998</v>
      </c>
      <c r="AH104" s="178">
        <f t="shared" si="114"/>
        <v>0.69634614896879665</v>
      </c>
      <c r="AI104" s="178">
        <f t="shared" si="162"/>
        <v>1.2377658431793774</v>
      </c>
      <c r="AJ104" s="178">
        <f t="shared" si="163"/>
        <v>1.9020487727254647</v>
      </c>
      <c r="AL104" s="562">
        <f t="shared" si="117"/>
        <v>396</v>
      </c>
      <c r="AM104" s="471">
        <f t="shared" si="118"/>
        <v>116.60517027718639</v>
      </c>
      <c r="AO104">
        <f t="shared" si="145"/>
        <v>396</v>
      </c>
      <c r="AP104">
        <f t="shared" si="119"/>
        <v>116.60517027718639</v>
      </c>
      <c r="AR104" s="5">
        <f t="shared" si="146"/>
        <v>8.5759490563142577</v>
      </c>
      <c r="AS104" s="5">
        <f t="shared" si="120"/>
        <v>4.3321804511278206</v>
      </c>
      <c r="AT104" s="5">
        <f t="shared" si="147"/>
        <v>4.2437686051864372</v>
      </c>
      <c r="AU104" s="178">
        <f t="shared" si="148"/>
        <v>0.50515463917525771</v>
      </c>
      <c r="AW104" s="5">
        <f t="shared" si="121"/>
        <v>14.296195488721807</v>
      </c>
      <c r="AX104" s="5">
        <f t="shared" si="122"/>
        <v>7.1480977443609035</v>
      </c>
      <c r="AY104" s="5">
        <f t="shared" si="123"/>
        <v>0.73707559984817062</v>
      </c>
      <c r="AZ104" s="5"/>
      <c r="BA104" s="178">
        <f t="shared" si="149"/>
        <v>0.50791383122224565</v>
      </c>
      <c r="BB104" s="178">
        <f t="shared" si="124"/>
        <v>1.005408641764449</v>
      </c>
      <c r="BC104" s="178">
        <f t="shared" si="125"/>
        <v>0.5027043208822245</v>
      </c>
      <c r="BD104" s="178"/>
      <c r="BE104" s="545">
        <f t="shared" si="126"/>
        <v>9.0291760981400945E-2</v>
      </c>
      <c r="BF104" s="545">
        <f t="shared" si="127"/>
        <v>5.2499999999999998E-2</v>
      </c>
      <c r="BG104" s="545">
        <f t="shared" si="128"/>
        <v>1.4575646284648296E-3</v>
      </c>
      <c r="BH104" s="545">
        <f t="shared" si="129"/>
        <v>1.3714225589225585E-2</v>
      </c>
      <c r="BI104">
        <f t="shared" si="130"/>
        <v>6.96E-3</v>
      </c>
      <c r="BJ104">
        <f t="shared" si="164"/>
        <v>0.1702500091910478</v>
      </c>
      <c r="BK104" s="471">
        <f t="shared" si="150"/>
        <v>170.25000919104781</v>
      </c>
      <c r="BL104" s="178">
        <f t="shared" si="132"/>
        <v>0.1188</v>
      </c>
      <c r="BM104" s="178">
        <f t="shared" si="133"/>
        <v>5.9400000000000001E-2</v>
      </c>
      <c r="BN104" s="545"/>
      <c r="BP104" s="471">
        <f t="shared" si="151"/>
        <v>178.2</v>
      </c>
      <c r="BQ104" s="545">
        <f t="shared" si="134"/>
        <v>2.4507763694951688E-2</v>
      </c>
      <c r="BR104" s="545">
        <f t="shared" si="135"/>
        <v>9.097618832411708E-2</v>
      </c>
      <c r="BS104" s="545">
        <f t="shared" si="136"/>
        <v>2.5271163423365856E-2</v>
      </c>
      <c r="BT104" s="545">
        <f t="shared" si="137"/>
        <v>1.251298021466006E-2</v>
      </c>
      <c r="BU104" s="545">
        <f t="shared" si="165"/>
        <v>0.15501361236943134</v>
      </c>
      <c r="BV104" s="655">
        <f t="shared" si="139"/>
        <v>4.0195488721804527E-2</v>
      </c>
      <c r="BW104" s="471">
        <f t="shared" si="152"/>
        <v>195.20910109123588</v>
      </c>
      <c r="BX104" s="178">
        <f t="shared" si="153"/>
        <v>0.54365911028228364</v>
      </c>
      <c r="BY104" s="5">
        <f t="shared" si="154"/>
        <v>7.128000000000001</v>
      </c>
      <c r="BZ104" s="178">
        <f t="shared" si="155"/>
        <v>0.92913408918891871</v>
      </c>
      <c r="CA104" s="5">
        <f t="shared" si="156"/>
        <v>92.913408918891875</v>
      </c>
      <c r="CB104">
        <f t="shared" si="157"/>
        <v>99</v>
      </c>
      <c r="CD104" s="580">
        <f t="shared" si="140"/>
        <v>-50</v>
      </c>
      <c r="CE104">
        <f t="shared" si="141"/>
        <v>-50</v>
      </c>
    </row>
    <row r="105" spans="5:83" x14ac:dyDescent="0.2">
      <c r="E105" s="175">
        <v>100</v>
      </c>
      <c r="F105" s="222">
        <f t="shared" si="167"/>
        <v>0.4</v>
      </c>
      <c r="G105" s="222">
        <f t="shared" si="142"/>
        <v>0.2</v>
      </c>
      <c r="H105" s="222">
        <f t="shared" si="95"/>
        <v>4.8000000000000007</v>
      </c>
      <c r="I105" s="222">
        <f t="shared" si="159"/>
        <v>2.4000000000000004</v>
      </c>
      <c r="J105" s="558">
        <f t="shared" si="96"/>
        <v>24</v>
      </c>
      <c r="K105" s="453">
        <f t="shared" si="97"/>
        <v>24.5</v>
      </c>
      <c r="L105" s="453">
        <f t="shared" si="98"/>
        <v>48.5</v>
      </c>
      <c r="M105" s="453"/>
      <c r="N105" s="222">
        <f t="shared" si="99"/>
        <v>0.50515463917525771</v>
      </c>
      <c r="O105" s="177">
        <f t="shared" si="166"/>
        <v>5.5668041237113393</v>
      </c>
      <c r="P105" s="177">
        <f t="shared" si="100"/>
        <v>4.1751030927835044</v>
      </c>
      <c r="Q105" s="222">
        <f t="shared" si="101"/>
        <v>0.46390034364261162</v>
      </c>
      <c r="R105" s="222">
        <f t="shared" si="102"/>
        <v>0.46390034364261162</v>
      </c>
      <c r="S105" s="453">
        <f t="shared" si="103"/>
        <v>12</v>
      </c>
      <c r="T105" s="222">
        <f t="shared" si="104"/>
        <v>1.2502685284640176</v>
      </c>
      <c r="U105" s="222">
        <f t="shared" si="105"/>
        <v>4.3759398496240616</v>
      </c>
      <c r="V105" s="222">
        <f t="shared" si="106"/>
        <v>4.286634954733775</v>
      </c>
      <c r="W105" s="202">
        <f t="shared" si="107"/>
        <v>350</v>
      </c>
      <c r="X105" s="453">
        <f t="shared" si="144"/>
        <v>115.43911857441452</v>
      </c>
      <c r="Z105" s="222">
        <f t="shared" si="108"/>
        <v>0.41237113402061859</v>
      </c>
      <c r="AA105" s="178">
        <f t="shared" si="109"/>
        <v>1.4138438880706923</v>
      </c>
      <c r="AB105" s="178">
        <f t="shared" si="160"/>
        <v>0.20405994260814117</v>
      </c>
      <c r="AC105" s="178"/>
      <c r="AD105" s="178">
        <f t="shared" si="111"/>
        <v>0.99428571428571422</v>
      </c>
      <c r="AE105" s="562">
        <f t="shared" si="161"/>
        <v>1387.2374157748716</v>
      </c>
      <c r="AF105" s="545">
        <f t="shared" si="113"/>
        <v>0.10091999999999998</v>
      </c>
      <c r="AH105" s="178">
        <f t="shared" si="114"/>
        <v>0.6998542122237652</v>
      </c>
      <c r="AI105" s="178">
        <f t="shared" si="162"/>
        <v>1.2502685284640176</v>
      </c>
      <c r="AJ105" s="178">
        <f t="shared" si="163"/>
        <v>1.9113100210844574</v>
      </c>
      <c r="AL105" s="562">
        <f t="shared" si="117"/>
        <v>400</v>
      </c>
      <c r="AM105" s="471">
        <f t="shared" si="118"/>
        <v>115.43911857441452</v>
      </c>
      <c r="AO105">
        <f t="shared" si="145"/>
        <v>400</v>
      </c>
      <c r="AP105" s="3">
        <f t="shared" si="119"/>
        <v>115.43911857441452</v>
      </c>
      <c r="AR105" s="5">
        <f t="shared" si="146"/>
        <v>8.6625748043578366</v>
      </c>
      <c r="AS105" s="5">
        <f t="shared" si="120"/>
        <v>4.3759398496240616</v>
      </c>
      <c r="AT105" s="5">
        <f t="shared" si="147"/>
        <v>4.286634954733775</v>
      </c>
      <c r="AU105" s="178">
        <f t="shared" si="148"/>
        <v>0.50515463917525771</v>
      </c>
      <c r="AW105" s="5">
        <f t="shared" si="121"/>
        <v>14.58646616541354</v>
      </c>
      <c r="AX105" s="5">
        <f t="shared" si="122"/>
        <v>7.2932330827067702</v>
      </c>
      <c r="AY105" s="5">
        <f t="shared" si="123"/>
        <v>0.75204122012873242</v>
      </c>
      <c r="AZ105" s="5"/>
      <c r="BA105" s="178">
        <f t="shared" si="149"/>
        <v>0.51304427396186425</v>
      </c>
      <c r="BB105" s="178">
        <f t="shared" si="124"/>
        <v>1.0155642846105546</v>
      </c>
      <c r="BC105" s="178">
        <f t="shared" si="125"/>
        <v>0.5077821423052773</v>
      </c>
      <c r="BD105" s="178"/>
      <c r="BE105" s="545">
        <f t="shared" si="126"/>
        <v>9.2125049465769743E-2</v>
      </c>
      <c r="BF105" s="545">
        <f t="shared" si="127"/>
        <v>5.2499999999999998E-2</v>
      </c>
      <c r="BG105" s="545">
        <f t="shared" si="128"/>
        <v>1.4429889821801815E-3</v>
      </c>
      <c r="BH105" s="545">
        <f t="shared" si="129"/>
        <v>1.357708333333333E-2</v>
      </c>
      <c r="BI105">
        <f t="shared" si="130"/>
        <v>6.96E-3</v>
      </c>
      <c r="BJ105">
        <f t="shared" si="164"/>
        <v>0.17209874247028772</v>
      </c>
      <c r="BK105" s="471">
        <f t="shared" si="150"/>
        <v>172.09874247028773</v>
      </c>
      <c r="BL105" s="178">
        <f t="shared" si="132"/>
        <v>0.12</v>
      </c>
      <c r="BM105" s="178">
        <f t="shared" si="133"/>
        <v>0.06</v>
      </c>
      <c r="BN105" s="545"/>
      <c r="BP105" s="471">
        <f t="shared" si="151"/>
        <v>180</v>
      </c>
      <c r="BQ105" s="545">
        <f t="shared" si="134"/>
        <v>2.5005370569280361E-2</v>
      </c>
      <c r="BR105" s="545">
        <f t="shared" si="135"/>
        <v>9.2823373455889285E-2</v>
      </c>
      <c r="BS105" s="545">
        <f t="shared" si="136"/>
        <v>2.5784270404413692E-2</v>
      </c>
      <c r="BT105" s="545">
        <f t="shared" si="137"/>
        <v>1.2512980214660081E-2</v>
      </c>
      <c r="BU105" s="545">
        <f t="shared" si="165"/>
        <v>0.15794058047324508</v>
      </c>
      <c r="BV105" s="655">
        <f t="shared" si="139"/>
        <v>4.0601503759398506E-2</v>
      </c>
      <c r="BW105" s="471">
        <f t="shared" si="152"/>
        <v>198.54208423264359</v>
      </c>
      <c r="BX105" s="178">
        <f t="shared" si="153"/>
        <v>0.55064082670293135</v>
      </c>
      <c r="BY105" s="5">
        <f t="shared" si="154"/>
        <v>7.2000000000000011</v>
      </c>
      <c r="BZ105" s="178">
        <f t="shared" si="155"/>
        <v>0.92895544523159512</v>
      </c>
      <c r="CA105" s="5">
        <f t="shared" si="156"/>
        <v>92.895544523159515</v>
      </c>
      <c r="CB105">
        <f t="shared" si="157"/>
        <v>100</v>
      </c>
      <c r="CD105" s="580">
        <f t="shared" si="140"/>
        <v>-50</v>
      </c>
      <c r="CE105">
        <f t="shared" si="141"/>
        <v>-50</v>
      </c>
    </row>
    <row r="106" spans="5:83" x14ac:dyDescent="0.2">
      <c r="E106" s="175"/>
      <c r="F106" s="222"/>
      <c r="G106" s="222"/>
      <c r="H106" s="222"/>
      <c r="I106" s="222"/>
      <c r="J106" s="558"/>
      <c r="K106" s="453"/>
      <c r="L106" s="453"/>
      <c r="M106" s="453"/>
      <c r="N106" s="222"/>
      <c r="O106" s="177"/>
      <c r="P106" s="177"/>
      <c r="Q106" s="222"/>
      <c r="R106" s="222"/>
      <c r="S106" s="222"/>
      <c r="T106" s="222"/>
      <c r="U106" s="222"/>
      <c r="V106" s="222"/>
      <c r="W106" s="202"/>
      <c r="X106" s="453"/>
      <c r="Z106" s="222"/>
      <c r="AA106" s="178"/>
      <c r="AB106" s="178"/>
      <c r="AC106" s="178"/>
      <c r="AD106" s="178"/>
      <c r="AE106" s="562"/>
      <c r="AF106" s="545"/>
      <c r="AH106" s="178"/>
      <c r="AI106" s="178"/>
      <c r="AJ106" s="178"/>
      <c r="AL106" s="562"/>
      <c r="AM106" s="471"/>
      <c r="AP106" s="3"/>
      <c r="AR106" s="5"/>
      <c r="AS106" s="5"/>
      <c r="AT106" s="5"/>
      <c r="AU106" s="178"/>
      <c r="AW106" s="5"/>
      <c r="AX106" s="5"/>
      <c r="AY106" s="5"/>
      <c r="AZ106" s="5"/>
      <c r="BA106" s="178"/>
      <c r="BB106" s="178"/>
      <c r="BC106" s="178"/>
      <c r="BD106" s="178"/>
      <c r="BE106" s="545"/>
      <c r="BF106" s="545"/>
      <c r="BG106" s="545"/>
      <c r="BH106" s="545"/>
      <c r="BK106" s="471"/>
      <c r="BL106" s="178"/>
      <c r="BM106" s="178"/>
      <c r="BN106" s="545"/>
      <c r="BP106" s="471"/>
      <c r="BQ106" s="545"/>
      <c r="BR106" s="545"/>
      <c r="BS106" s="545"/>
      <c r="BT106" s="545"/>
      <c r="BU106" s="545"/>
      <c r="BV106" s="655"/>
      <c r="BW106" s="471"/>
      <c r="BX106" s="178"/>
      <c r="BY106" s="5"/>
      <c r="BZ106" s="178"/>
      <c r="CA106" s="5"/>
    </row>
    <row r="107" spans="5:83" x14ac:dyDescent="0.2">
      <c r="G107" s="222"/>
      <c r="H107" s="222"/>
      <c r="I107" s="222"/>
      <c r="J107" s="558"/>
      <c r="K107" s="453"/>
      <c r="L107" s="453"/>
      <c r="M107" s="453"/>
      <c r="N107" s="222"/>
      <c r="O107" s="177"/>
      <c r="P107" s="177"/>
      <c r="Q107" s="222"/>
      <c r="R107" s="222"/>
      <c r="S107" s="222"/>
      <c r="T107" s="222"/>
      <c r="U107" s="222"/>
      <c r="V107" s="222"/>
      <c r="W107" s="202"/>
      <c r="X107" s="453"/>
      <c r="Z107" s="222"/>
      <c r="AA107" s="178"/>
      <c r="AB107" s="178"/>
      <c r="AC107" s="178"/>
      <c r="AD107" s="178"/>
      <c r="AE107" s="562"/>
      <c r="AF107" s="545"/>
      <c r="AH107" s="178"/>
      <c r="AI107" s="178"/>
      <c r="AJ107" s="178"/>
      <c r="AL107" s="562"/>
      <c r="AM107" s="471"/>
      <c r="AR107" s="5"/>
      <c r="AS107" s="5"/>
      <c r="AT107" s="5"/>
      <c r="AU107" s="178"/>
      <c r="AW107" s="5"/>
      <c r="AX107" s="5"/>
      <c r="AY107" s="5"/>
      <c r="AZ107" s="5"/>
      <c r="BA107" s="178"/>
      <c r="BB107" s="178"/>
      <c r="BC107" s="178"/>
      <c r="BD107" s="178"/>
      <c r="BE107" s="545"/>
      <c r="BF107" s="545"/>
      <c r="BG107" s="545"/>
      <c r="BH107" s="545"/>
      <c r="BK107" s="471"/>
      <c r="BL107" s="178"/>
      <c r="BM107" s="178"/>
      <c r="BN107" s="545"/>
      <c r="BP107" s="471"/>
      <c r="BQ107" s="545"/>
      <c r="BR107" s="545"/>
      <c r="BS107" s="545"/>
      <c r="BT107" s="545"/>
      <c r="BU107" s="545"/>
      <c r="BV107" s="655"/>
      <c r="BW107" s="471"/>
      <c r="BX107" s="178"/>
      <c r="BY107" s="5"/>
      <c r="BZ107" s="178"/>
      <c r="CA107" s="5"/>
    </row>
    <row r="108" spans="5:83" x14ac:dyDescent="0.2">
      <c r="E108" s="455" t="s">
        <v>445</v>
      </c>
      <c r="G108" s="222"/>
      <c r="H108" s="222"/>
      <c r="I108" s="222"/>
      <c r="J108" s="558"/>
      <c r="K108" s="453"/>
      <c r="L108" s="453"/>
      <c r="M108" s="453"/>
      <c r="N108" s="222"/>
      <c r="O108" s="177"/>
      <c r="P108" s="177"/>
      <c r="Q108" s="222"/>
      <c r="R108" s="222"/>
      <c r="S108" s="222"/>
      <c r="T108" s="222"/>
      <c r="U108" s="222"/>
      <c r="V108" s="222"/>
      <c r="W108" s="202"/>
      <c r="X108" s="453"/>
      <c r="Z108" s="222"/>
      <c r="AA108" s="178"/>
      <c r="AB108" s="178"/>
      <c r="AC108" s="178"/>
      <c r="AD108" s="178"/>
      <c r="AE108" s="562"/>
      <c r="AF108" s="545"/>
      <c r="AH108" s="178"/>
      <c r="AI108" s="178"/>
      <c r="AJ108" s="178"/>
      <c r="AL108" s="562"/>
      <c r="AM108" s="471"/>
      <c r="AR108" s="5"/>
      <c r="AS108" s="5"/>
      <c r="AT108" s="5"/>
      <c r="AU108" s="178"/>
      <c r="AW108" s="550" t="s">
        <v>481</v>
      </c>
      <c r="AX108" s="550" t="s">
        <v>481</v>
      </c>
      <c r="AY108" s="550"/>
      <c r="AZ108" s="550"/>
      <c r="BA108" s="576" t="s">
        <v>482</v>
      </c>
      <c r="BB108" s="550"/>
      <c r="BC108" s="550"/>
      <c r="BD108" s="550"/>
      <c r="BE108" s="576" t="s">
        <v>506</v>
      </c>
      <c r="BF108" s="550"/>
      <c r="BG108" s="550"/>
      <c r="BH108" s="550"/>
      <c r="BI108" s="550"/>
      <c r="BJ108" s="550"/>
      <c r="BK108" s="550"/>
      <c r="BL108" s="576" t="s">
        <v>502</v>
      </c>
      <c r="BM108" s="550"/>
      <c r="BN108" s="550"/>
      <c r="BO108" s="550"/>
      <c r="BP108" s="550"/>
      <c r="BQ108" s="577" t="s">
        <v>503</v>
      </c>
      <c r="BR108" s="550"/>
      <c r="BS108" s="550"/>
      <c r="BT108" s="550"/>
      <c r="BU108" s="550"/>
      <c r="BV108" s="550"/>
      <c r="BW108" s="550"/>
      <c r="BX108" s="576"/>
      <c r="BY108" s="550"/>
      <c r="BZ108" s="550"/>
      <c r="CA108" s="550"/>
      <c r="CB108" s="550"/>
    </row>
    <row r="109" spans="5:83" ht="45" customHeight="1" thickBot="1" x14ac:dyDescent="0.25">
      <c r="E109" s="246" t="s">
        <v>25</v>
      </c>
      <c r="F109" s="624" t="s">
        <v>599</v>
      </c>
      <c r="G109" s="454" t="s">
        <v>598</v>
      </c>
      <c r="H109" s="625" t="s">
        <v>600</v>
      </c>
      <c r="I109" s="626" t="s">
        <v>601</v>
      </c>
      <c r="J109" s="247" t="s">
        <v>423</v>
      </c>
      <c r="K109" s="248" t="s">
        <v>429</v>
      </c>
      <c r="L109" s="544" t="s">
        <v>424</v>
      </c>
      <c r="M109" s="544"/>
      <c r="N109" s="249" t="s">
        <v>48</v>
      </c>
      <c r="O109" s="628" t="s">
        <v>609</v>
      </c>
      <c r="P109" s="628" t="s">
        <v>625</v>
      </c>
      <c r="Q109" s="544" t="s">
        <v>414</v>
      </c>
      <c r="R109" s="628" t="s">
        <v>603</v>
      </c>
      <c r="S109" s="544" t="s">
        <v>444</v>
      </c>
      <c r="T109" s="628" t="s">
        <v>425</v>
      </c>
      <c r="U109" s="544" t="s">
        <v>477</v>
      </c>
      <c r="V109" s="544" t="s">
        <v>476</v>
      </c>
      <c r="W109" s="564" t="s">
        <v>431</v>
      </c>
      <c r="X109" s="559" t="s">
        <v>436</v>
      </c>
      <c r="Z109" s="250" t="s">
        <v>428</v>
      </c>
      <c r="AA109" s="250" t="s">
        <v>475</v>
      </c>
      <c r="AB109" s="250" t="s">
        <v>606</v>
      </c>
      <c r="AC109" s="561"/>
      <c r="AD109" s="250" t="s">
        <v>474</v>
      </c>
      <c r="AE109" s="629" t="s">
        <v>437</v>
      </c>
      <c r="AF109" s="250" t="s">
        <v>607</v>
      </c>
      <c r="AG109" s="561"/>
      <c r="AH109" s="178"/>
      <c r="AI109" s="565" t="s">
        <v>441</v>
      </c>
      <c r="AJ109" s="565" t="s">
        <v>442</v>
      </c>
      <c r="AL109" s="560" t="s">
        <v>276</v>
      </c>
      <c r="AM109" s="560" t="s">
        <v>443</v>
      </c>
      <c r="AO109" s="250" t="s">
        <v>276</v>
      </c>
      <c r="AP109" s="250" t="s">
        <v>443</v>
      </c>
      <c r="AQ109" s="566"/>
      <c r="AR109" s="250" t="s">
        <v>478</v>
      </c>
      <c r="AS109" s="250" t="s">
        <v>472</v>
      </c>
      <c r="AT109" s="250" t="s">
        <v>473</v>
      </c>
      <c r="AU109" s="250" t="s">
        <v>48</v>
      </c>
      <c r="AV109" s="561"/>
      <c r="AW109" s="250" t="s">
        <v>610</v>
      </c>
      <c r="AX109" s="250" t="s">
        <v>611</v>
      </c>
      <c r="AY109" s="250" t="s">
        <v>529</v>
      </c>
      <c r="AZ109" s="561"/>
      <c r="BA109" s="575" t="s">
        <v>467</v>
      </c>
      <c r="BB109" s="250" t="s">
        <v>618</v>
      </c>
      <c r="BC109" s="250" t="s">
        <v>617</v>
      </c>
      <c r="BD109" s="561"/>
      <c r="BE109" s="575" t="s">
        <v>485</v>
      </c>
      <c r="BF109" s="250" t="s">
        <v>486</v>
      </c>
      <c r="BG109" s="250" t="s">
        <v>484</v>
      </c>
      <c r="BH109" s="250" t="s">
        <v>480</v>
      </c>
      <c r="BI109" s="250" t="s">
        <v>489</v>
      </c>
      <c r="BJ109" s="250"/>
      <c r="BK109" s="250" t="s">
        <v>504</v>
      </c>
      <c r="BL109" s="575" t="s">
        <v>620</v>
      </c>
      <c r="BM109" s="250" t="s">
        <v>619</v>
      </c>
      <c r="BN109" s="250" t="s">
        <v>488</v>
      </c>
      <c r="BO109" s="250" t="s">
        <v>496</v>
      </c>
      <c r="BP109" s="250" t="s">
        <v>500</v>
      </c>
      <c r="BQ109" s="575" t="s">
        <v>469</v>
      </c>
      <c r="BR109" s="250" t="s">
        <v>622</v>
      </c>
      <c r="BS109" s="250" t="s">
        <v>621</v>
      </c>
      <c r="BT109" s="250" t="s">
        <v>479</v>
      </c>
      <c r="BU109" s="250"/>
      <c r="BV109" s="250" t="s">
        <v>497</v>
      </c>
      <c r="BW109" s="250" t="s">
        <v>499</v>
      </c>
      <c r="BX109" s="575" t="s">
        <v>495</v>
      </c>
      <c r="BY109" s="250" t="s">
        <v>224</v>
      </c>
      <c r="BZ109" s="250" t="s">
        <v>47</v>
      </c>
      <c r="CA109" s="250" t="s">
        <v>498</v>
      </c>
      <c r="CB109" s="250" t="s">
        <v>623</v>
      </c>
      <c r="CD109" s="588" t="s">
        <v>511</v>
      </c>
    </row>
    <row r="110" spans="5:83" x14ac:dyDescent="0.2">
      <c r="E110" s="175">
        <v>0.1</v>
      </c>
      <c r="F110" s="222">
        <v>1.0000000000000001E-9</v>
      </c>
      <c r="G110" s="222">
        <f t="shared" ref="G110:G141" si="168">IF(PLOT_TYPE=1, E110/100*Iout2, min_I*EXP(Q110*rr/100))</f>
        <v>2.0000000000000001E-4</v>
      </c>
      <c r="H110" s="222">
        <f t="shared" ref="H110:H141" si="169">F110*Vout</f>
        <v>1.2000000000000002E-8</v>
      </c>
      <c r="I110" s="222">
        <f t="shared" ref="I110:I141" si="170">Vout2*G110</f>
        <v>2.4000000000000002E-3</v>
      </c>
      <c r="J110" s="558">
        <f t="shared" ref="J110:J173" si="171">VIN_min</f>
        <v>21.6</v>
      </c>
      <c r="K110" s="453">
        <f t="shared" ref="K110:K173" si="172">(S110+Vfwd1)*Nps</f>
        <v>24.5</v>
      </c>
      <c r="L110" s="453">
        <f t="shared" ref="L110:L173" si="173">(Vout+Vfwd1)*Nps+J110</f>
        <v>46.1</v>
      </c>
      <c r="M110" s="453"/>
      <c r="N110" s="222">
        <f t="shared" ref="N110:N173" si="174">(Vout+Vfwd1)*Nps/((Vout+Vfwd1)*Nps+J110)</f>
        <v>0.53145336225596529</v>
      </c>
      <c r="O110" s="177">
        <f t="shared" ref="O110:O141" si="175">N110*J110*Isw_max*0.5*Efficiency*Pout/(Pout+Pout2)</f>
        <v>5.2709544468546632</v>
      </c>
      <c r="P110" s="177">
        <f t="shared" ref="P110:P141" si="176">N110*J110*Isw_max*0.5*Efficiency*(Pout2/Pout_total)</f>
        <v>3.9532158351409978</v>
      </c>
      <c r="Q110" s="222">
        <f t="shared" ref="Q110:Q173" si="177">O110/Vout</f>
        <v>0.43924620390455527</v>
      </c>
      <c r="R110" s="222">
        <f t="shared" ref="R110:R141" si="178">O110/Vout2</f>
        <v>0.43924620390455527</v>
      </c>
      <c r="S110" s="222">
        <f t="shared" ref="S110:S141" si="179">MIN(Vout,O110/F110)</f>
        <v>12</v>
      </c>
      <c r="T110" s="222">
        <f t="shared" ref="T110:T141" si="180">MIN(2*(Vout*F110+Vout2*G110)/(Efficiency*J110*N110), Isw_max)</f>
        <v>4.4015018976011462E-4</v>
      </c>
      <c r="U110" s="222">
        <f t="shared" ref="U110:U173" si="181">L*T110/J110*1000000</f>
        <v>1.7116951824004457E-3</v>
      </c>
      <c r="V110" s="222">
        <f t="shared" ref="V110:V173" si="182">L*T110/K110*1000000</f>
        <v>1.5090863648918216E-3</v>
      </c>
      <c r="W110" s="202">
        <f t="shared" ref="W110:W173" si="183">IF(1/((350000*L)*(1/J110+1/K110))&gt;Isw_min, 350, 0.001/((Isw_min*L)*(1/J110+1/K110)))</f>
        <v>350</v>
      </c>
      <c r="X110" s="453">
        <f t="shared" ref="X110:X173" si="184">MIN(1/(U110+V110)*1000, 350)</f>
        <v>350</v>
      </c>
      <c r="Z110" s="222">
        <f t="shared" ref="Z110:Z173" si="185">1/((W110*1000*L)*(1/J110+1/K110))</f>
        <v>0.39045553145336231</v>
      </c>
      <c r="AA110" s="178">
        <f t="shared" ref="AA110:AA173" si="186">L*Z110/K110*1000000</f>
        <v>1.3387046792686708</v>
      </c>
      <c r="AB110" s="178">
        <f t="shared" ref="AB110:AB141" si="187">0.5*AA110*Z110*Nps*W110/1000*(Pout/(Pout+Pout2))</f>
        <v>0.12196441763402208</v>
      </c>
      <c r="AC110" s="178"/>
      <c r="AD110" s="178">
        <f t="shared" ref="AD110:AD173" si="188">L*Isw_min/K110*1000000</f>
        <v>0.99428571428571422</v>
      </c>
      <c r="AE110" s="562">
        <f t="shared" ref="AE110:AE141" si="189">MAX(10, F110/(0.5*AD110/1000000*Isw_min*Nps)/1000*Pout_total/Pout)</f>
        <v>10</v>
      </c>
      <c r="AF110" s="545">
        <f t="shared" ref="AF110:AF141" si="190">0.5*AD110/1000000*Isw_min*Nps*W110*1000*(Pout/Pout_total)</f>
        <v>0.10091999999999998</v>
      </c>
      <c r="AH110" s="178">
        <f t="shared" ref="AH110:AH141" si="191">SQRT((H110+I110)/(0.5*L*Fsw_DCM))</f>
        <v>1.2777563243787119E-2</v>
      </c>
      <c r="AI110" s="178">
        <f t="shared" ref="AI110:AI141" si="192">MAX(IF(F110&gt;AB110,T110,AH110),Isw_min)</f>
        <v>0.28999999999999998</v>
      </c>
      <c r="AJ110" s="178">
        <f t="shared" ref="AJ110:AJ141" si="193">IF(F110&gt;AF110, (AI110-Isw_min)/1.08*0.8+1.2, AE110*0.2/350+1)</f>
        <v>1.0057142857142858</v>
      </c>
      <c r="AL110" s="562">
        <f t="shared" ref="AL110:AL141" si="194">F110*1000</f>
        <v>1.0000000000000002E-6</v>
      </c>
      <c r="AM110" s="471">
        <f t="shared" ref="AM110:AM141" si="195">IF(F110&gt;AF110, X110, AE110)</f>
        <v>10</v>
      </c>
      <c r="AO110" s="471">
        <f t="shared" ref="AO110:AO173" si="196">IF(H110&gt;O110, "",AL110)</f>
        <v>1.0000000000000002E-6</v>
      </c>
      <c r="AP110" s="471">
        <f t="shared" ref="AP110:AP173" si="197">IF(H110&gt;O110, "",AM110)</f>
        <v>10</v>
      </c>
      <c r="AR110" s="5">
        <f t="shared" si="146"/>
        <v>100</v>
      </c>
      <c r="AS110" s="5">
        <f t="shared" ref="AS110:AS114" si="198">L*AI110/J110*1000000</f>
        <v>1.1277777777777775</v>
      </c>
      <c r="AT110" s="5">
        <f t="shared" ref="AT110:AT114" si="199">AR110-AS110</f>
        <v>98.87222222222222</v>
      </c>
      <c r="AU110" s="178">
        <f t="shared" ref="AU110:AU114" si="200">AS110/AR110</f>
        <v>1.1277777777777775E-2</v>
      </c>
      <c r="AW110" s="5">
        <f t="shared" ref="AW110:AW169" si="201">F110*AS110/Vout_ripple*1000</f>
        <v>9.398148148148147E-9</v>
      </c>
      <c r="AX110" s="5">
        <f t="shared" ref="AX110:AX169" si="202">G110*AS110/Vout_ripple2*1000</f>
        <v>1.8796296296296295E-3</v>
      </c>
      <c r="AY110" s="5">
        <f t="shared" ref="AY110:AY169" si="203">H110/Efficiency/J110*AT110/Vinripple1</f>
        <v>4.8183344162876329E-8</v>
      </c>
      <c r="AZ110" s="5"/>
      <c r="BA110" s="178">
        <f t="shared" ref="BA110:BA169" si="204">AI110*SQRT(AU110/3)</f>
        <v>1.7780711563480905E-2</v>
      </c>
      <c r="BB110" s="178">
        <f t="shared" ref="BB110:BB169" si="205">AI110*Npri_sec1*SQRT((1-AU110)/3)*(Pout/Pout_total)</f>
        <v>0.33296954593253492</v>
      </c>
      <c r="BC110" s="178">
        <f t="shared" ref="BC110:BC169" si="206">AI110*Npri_sec2*SQRT((1-AU110)/3)*(Pout2/Pout_total)</f>
        <v>0.16648477296626746</v>
      </c>
      <c r="BD110" s="178"/>
      <c r="BE110" s="545">
        <f t="shared" ref="BE110:BE169" si="207">Rdson*BA110^2</f>
        <v>1.1065379629629625E-4</v>
      </c>
      <c r="BF110" s="545">
        <f t="shared" ref="BF110:BF169" si="208">0.5*L110*AI110*AM110*1000*Trise</f>
        <v>1.002675E-3</v>
      </c>
      <c r="BG110" s="545">
        <f t="shared" ref="BG110:BG169" si="209">Qg*Vdd*AM110*1000</f>
        <v>1.25E-4</v>
      </c>
      <c r="BH110" s="545">
        <f t="shared" ref="BH110:BH169" si="210">0.5*(Coss+Csw)*L110^2*AM110*1000</f>
        <v>1.0626049999999999E-3</v>
      </c>
      <c r="BI110">
        <f t="shared" ref="BI110:BI169" si="211">J110*IQ</f>
        <v>6.2640000000000005E-3</v>
      </c>
      <c r="BK110" s="471">
        <f t="shared" ref="BK110:BK169" si="212">SUM(BE110:BI110)*1000</f>
        <v>8.5649337962962964</v>
      </c>
      <c r="BL110" s="178">
        <f t="shared" ref="BL110:BL169" si="213">Vfwd2*F110</f>
        <v>3E-10</v>
      </c>
      <c r="BM110" s="178">
        <f t="shared" ref="BM110:BM169" si="214">Vfwd2*G110</f>
        <v>6.0000000000000002E-5</v>
      </c>
      <c r="BN110" s="545"/>
      <c r="BP110" s="471">
        <f t="shared" ref="BP110:BP169" si="215">SUM(BL110:BO110)*1000</f>
        <v>6.0000299999999999E-2</v>
      </c>
      <c r="BQ110" s="545">
        <f t="shared" ref="BQ110:BQ169" si="216">Rdcr_pri*BA110^2</f>
        <v>3.0034601851851845E-5</v>
      </c>
      <c r="BR110" s="545">
        <f t="shared" ref="BR110:BR169" si="217">Rdcr_sec*BB110^2</f>
        <v>9.9781846666666639E-3</v>
      </c>
      <c r="BS110" s="545">
        <f t="shared" ref="BS110:BS169" si="218">Rdcr_sec2*BC110^2</f>
        <v>2.7717179629629623E-3</v>
      </c>
      <c r="BT110" s="545">
        <f t="shared" ref="BT110:BT169" si="219">AI110^2.5*AM110^2.5*k_core</f>
        <v>7.1608569668720578E-7</v>
      </c>
      <c r="BU110" s="545"/>
      <c r="BV110" s="655">
        <f t="shared" ref="BV110:BV141" si="220">0.5*Lleak*0.000000001*AI110^2*AM110*1000</f>
        <v>1.8922500000000001E-4</v>
      </c>
      <c r="BW110" s="471">
        <f t="shared" ref="BW110:BW169" si="221">SUM(BQ110:BV110)*1000</f>
        <v>12.969878317178164</v>
      </c>
      <c r="BX110" s="178">
        <f t="shared" ref="BX110:BX169" si="222">SUM(BE110:BI110,BL110:BO110,BQ110:BV110)</f>
        <v>2.1594812413474461E-2</v>
      </c>
      <c r="BY110" s="5">
        <f t="shared" ref="BY110:BY169" si="223">MIN(H110+I110,O110+P110)</f>
        <v>2.4000120000000004E-3</v>
      </c>
      <c r="BZ110" s="178">
        <f t="shared" ref="BZ110:BZ169" si="224">BY110/(BY110+BX110)</f>
        <v>0.10002206970317552</v>
      </c>
      <c r="CA110" s="5">
        <f t="shared" ref="CA110:CA169" si="225">BZ110*100</f>
        <v>10.002206970317552</v>
      </c>
      <c r="CB110">
        <f t="shared" ref="CB110:CB169" si="226">F110/Iout*100</f>
        <v>2.4999999999999999E-7</v>
      </c>
      <c r="CD110" s="580">
        <f t="shared" ref="CD110:CD141" si="227">IF(ABS(F110-Ioutmax_Vinmin)&lt;Iout/200, AM110, -50)</f>
        <v>-50</v>
      </c>
      <c r="CE110">
        <f t="shared" ref="CE110:CE141" si="228">IF(ABS(F110-Ioutmax_Vinmin)&lt;Iout/200, (O110+P110)*BZ110, -50)</f>
        <v>-50</v>
      </c>
    </row>
    <row r="111" spans="5:83" x14ac:dyDescent="0.2">
      <c r="E111" s="175">
        <v>1</v>
      </c>
      <c r="F111" s="222">
        <f t="shared" ref="F111:F142" si="229">IF(PLOT_TYPE=1, E111/100*Iout_max, min_I*EXP(O111*rr/100))</f>
        <v>4.0000000000000001E-3</v>
      </c>
      <c r="G111" s="222">
        <f t="shared" si="168"/>
        <v>2E-3</v>
      </c>
      <c r="H111" s="222">
        <f t="shared" si="169"/>
        <v>4.8000000000000001E-2</v>
      </c>
      <c r="I111" s="222">
        <f t="shared" si="170"/>
        <v>2.4E-2</v>
      </c>
      <c r="J111" s="558">
        <f t="shared" si="171"/>
        <v>21.6</v>
      </c>
      <c r="K111" s="453">
        <f t="shared" si="172"/>
        <v>24.5</v>
      </c>
      <c r="L111" s="453">
        <f t="shared" si="173"/>
        <v>46.1</v>
      </c>
      <c r="M111" s="453"/>
      <c r="N111" s="222">
        <f t="shared" si="174"/>
        <v>0.53145336225596529</v>
      </c>
      <c r="O111" s="177">
        <f t="shared" si="175"/>
        <v>5.2709544468546632</v>
      </c>
      <c r="P111" s="177">
        <f t="shared" si="176"/>
        <v>3.9532158351409978</v>
      </c>
      <c r="Q111" s="222">
        <f t="shared" si="177"/>
        <v>0.43924620390455527</v>
      </c>
      <c r="R111" s="222">
        <f t="shared" si="178"/>
        <v>0.43924620390455527</v>
      </c>
      <c r="S111" s="222">
        <f t="shared" si="179"/>
        <v>12</v>
      </c>
      <c r="T111" s="222">
        <f t="shared" si="180"/>
        <v>1.3204439670605085E-2</v>
      </c>
      <c r="U111" s="222">
        <f t="shared" si="181"/>
        <v>5.1350598719019772E-2</v>
      </c>
      <c r="V111" s="222">
        <f t="shared" si="182"/>
        <v>4.5272364584931717E-2</v>
      </c>
      <c r="W111" s="202">
        <f t="shared" si="183"/>
        <v>350</v>
      </c>
      <c r="X111" s="453">
        <f t="shared" si="184"/>
        <v>350</v>
      </c>
      <c r="Z111" s="222">
        <f t="shared" si="185"/>
        <v>0.39045553145336231</v>
      </c>
      <c r="AA111" s="178">
        <f t="shared" si="186"/>
        <v>1.3387046792686708</v>
      </c>
      <c r="AB111" s="178">
        <f t="shared" si="187"/>
        <v>0.12196441763402208</v>
      </c>
      <c r="AC111" s="178"/>
      <c r="AD111" s="178">
        <f t="shared" si="188"/>
        <v>0.99428571428571422</v>
      </c>
      <c r="AE111" s="562">
        <f t="shared" si="189"/>
        <v>13.872374157748716</v>
      </c>
      <c r="AF111" s="545">
        <f t="shared" si="190"/>
        <v>0.10091999999999998</v>
      </c>
      <c r="AH111" s="178">
        <f t="shared" si="191"/>
        <v>6.9985421222376526E-2</v>
      </c>
      <c r="AI111" s="178">
        <f t="shared" si="192"/>
        <v>0.28999999999999998</v>
      </c>
      <c r="AJ111" s="178">
        <f t="shared" si="193"/>
        <v>1.007927070947285</v>
      </c>
      <c r="AL111" s="562">
        <f t="shared" si="194"/>
        <v>4</v>
      </c>
      <c r="AM111" s="471">
        <f t="shared" si="195"/>
        <v>13.872374157748716</v>
      </c>
      <c r="AO111" s="471">
        <f t="shared" si="196"/>
        <v>4</v>
      </c>
      <c r="AP111" s="471">
        <f t="shared" si="197"/>
        <v>13.872374157748716</v>
      </c>
      <c r="AR111" s="5">
        <f t="shared" si="146"/>
        <v>72.085714285714261</v>
      </c>
      <c r="AS111" s="5">
        <f t="shared" si="198"/>
        <v>1.1277777777777775</v>
      </c>
      <c r="AT111" s="5">
        <f t="shared" si="199"/>
        <v>70.957936507936481</v>
      </c>
      <c r="AU111" s="178">
        <f t="shared" si="200"/>
        <v>1.5644955300127716E-2</v>
      </c>
      <c r="AW111" s="5">
        <f t="shared" si="201"/>
        <v>3.7592592592592587E-2</v>
      </c>
      <c r="AX111" s="5">
        <f t="shared" si="202"/>
        <v>1.8796296296296294E-2</v>
      </c>
      <c r="AY111" s="5">
        <f t="shared" si="203"/>
        <v>0.13831956434295609</v>
      </c>
      <c r="AZ111" s="5"/>
      <c r="BA111" s="178">
        <f t="shared" si="204"/>
        <v>2.0942307583300852E-2</v>
      </c>
      <c r="BB111" s="178">
        <f t="shared" si="205"/>
        <v>0.33223337030719685</v>
      </c>
      <c r="BC111" s="178">
        <f t="shared" si="206"/>
        <v>0.16611668515359843</v>
      </c>
      <c r="BD111" s="178"/>
      <c r="BE111" s="545">
        <f t="shared" si="207"/>
        <v>1.5350308641975312E-4</v>
      </c>
      <c r="BF111" s="545">
        <f t="shared" si="208"/>
        <v>1.3909482758620694E-3</v>
      </c>
      <c r="BG111" s="545">
        <f t="shared" si="209"/>
        <v>1.7340467697185894E-4</v>
      </c>
      <c r="BH111" s="545">
        <f t="shared" si="210"/>
        <v>1.4740854141894574E-3</v>
      </c>
      <c r="BI111">
        <f t="shared" si="211"/>
        <v>6.2640000000000005E-3</v>
      </c>
      <c r="BK111" s="471">
        <f t="shared" si="212"/>
        <v>9.4559414534431401</v>
      </c>
      <c r="BL111" s="178">
        <f t="shared" si="213"/>
        <v>1.1999999999999999E-3</v>
      </c>
      <c r="BM111" s="178">
        <f t="shared" si="214"/>
        <v>5.9999999999999995E-4</v>
      </c>
      <c r="BN111" s="545"/>
      <c r="BP111" s="471">
        <f t="shared" si="215"/>
        <v>1.8</v>
      </c>
      <c r="BQ111" s="545">
        <f t="shared" si="216"/>
        <v>4.1665123456790135E-5</v>
      </c>
      <c r="BR111" s="545">
        <f t="shared" si="217"/>
        <v>9.9341111111111088E-3</v>
      </c>
      <c r="BS111" s="545">
        <f t="shared" si="218"/>
        <v>2.7594753086419748E-3</v>
      </c>
      <c r="BT111" s="545">
        <f t="shared" si="219"/>
        <v>1.6230876889781498E-6</v>
      </c>
      <c r="BU111" s="545"/>
      <c r="BV111" s="655">
        <f t="shared" si="220"/>
        <v>2.6250000000000009E-4</v>
      </c>
      <c r="BW111" s="471">
        <f t="shared" si="221"/>
        <v>12.999374630898851</v>
      </c>
      <c r="BX111" s="178">
        <f t="shared" si="222"/>
        <v>2.4255316084341987E-2</v>
      </c>
      <c r="BY111" s="5">
        <f t="shared" si="223"/>
        <v>7.2000000000000008E-2</v>
      </c>
      <c r="BZ111" s="178">
        <f t="shared" si="224"/>
        <v>0.74801063389487288</v>
      </c>
      <c r="CA111" s="5">
        <f t="shared" si="225"/>
        <v>74.801063389487283</v>
      </c>
      <c r="CB111">
        <f t="shared" si="226"/>
        <v>1</v>
      </c>
      <c r="CD111" s="580">
        <f t="shared" si="227"/>
        <v>-50</v>
      </c>
      <c r="CE111">
        <f t="shared" si="228"/>
        <v>-50</v>
      </c>
    </row>
    <row r="112" spans="5:83" x14ac:dyDescent="0.2">
      <c r="E112" s="175">
        <v>2</v>
      </c>
      <c r="F112" s="222">
        <f t="shared" si="229"/>
        <v>8.0000000000000002E-3</v>
      </c>
      <c r="G112" s="222">
        <f t="shared" si="168"/>
        <v>4.0000000000000001E-3</v>
      </c>
      <c r="H112" s="222">
        <f t="shared" si="169"/>
        <v>9.6000000000000002E-2</v>
      </c>
      <c r="I112" s="222">
        <f t="shared" si="170"/>
        <v>4.8000000000000001E-2</v>
      </c>
      <c r="J112" s="558">
        <f t="shared" si="171"/>
        <v>21.6</v>
      </c>
      <c r="K112" s="453">
        <f t="shared" si="172"/>
        <v>24.5</v>
      </c>
      <c r="L112" s="453">
        <f t="shared" si="173"/>
        <v>46.1</v>
      </c>
      <c r="M112" s="453"/>
      <c r="N112" s="222">
        <f t="shared" si="174"/>
        <v>0.53145336225596529</v>
      </c>
      <c r="O112" s="177">
        <f t="shared" si="175"/>
        <v>5.2709544468546632</v>
      </c>
      <c r="P112" s="177">
        <f t="shared" si="176"/>
        <v>3.9532158351409978</v>
      </c>
      <c r="Q112" s="222">
        <f t="shared" si="177"/>
        <v>0.43924620390455527</v>
      </c>
      <c r="R112" s="222">
        <f t="shared" si="178"/>
        <v>0.43924620390455527</v>
      </c>
      <c r="S112" s="222">
        <f t="shared" si="179"/>
        <v>12</v>
      </c>
      <c r="T112" s="222">
        <f t="shared" si="180"/>
        <v>2.6408879341210171E-2</v>
      </c>
      <c r="U112" s="222">
        <f t="shared" si="181"/>
        <v>0.10270119743803954</v>
      </c>
      <c r="V112" s="222">
        <f t="shared" si="182"/>
        <v>9.0544729169863433E-2</v>
      </c>
      <c r="W112" s="202">
        <f t="shared" si="183"/>
        <v>350</v>
      </c>
      <c r="X112" s="453">
        <f t="shared" si="184"/>
        <v>350</v>
      </c>
      <c r="Z112" s="222">
        <f t="shared" si="185"/>
        <v>0.39045553145336231</v>
      </c>
      <c r="AA112" s="178">
        <f t="shared" si="186"/>
        <v>1.3387046792686708</v>
      </c>
      <c r="AB112" s="178">
        <f t="shared" si="187"/>
        <v>0.12196441763402208</v>
      </c>
      <c r="AC112" s="178"/>
      <c r="AD112" s="178">
        <f t="shared" si="188"/>
        <v>0.99428571428571422</v>
      </c>
      <c r="AE112" s="562">
        <f t="shared" si="189"/>
        <v>27.744748315497432</v>
      </c>
      <c r="AF112" s="545">
        <f t="shared" si="190"/>
        <v>0.10091999999999998</v>
      </c>
      <c r="AH112" s="178">
        <f t="shared" si="191"/>
        <v>9.8974331861078707E-2</v>
      </c>
      <c r="AI112" s="178">
        <f t="shared" si="192"/>
        <v>0.28999999999999998</v>
      </c>
      <c r="AJ112" s="178">
        <f t="shared" si="193"/>
        <v>1.0158541418945699</v>
      </c>
      <c r="AL112" s="562">
        <f t="shared" si="194"/>
        <v>8</v>
      </c>
      <c r="AM112" s="471">
        <f t="shared" si="195"/>
        <v>27.744748315497432</v>
      </c>
      <c r="AO112" s="471">
        <f t="shared" si="196"/>
        <v>8</v>
      </c>
      <c r="AP112" s="471">
        <f t="shared" si="197"/>
        <v>27.744748315497432</v>
      </c>
      <c r="AR112" s="5">
        <f t="shared" si="146"/>
        <v>36.04285714285713</v>
      </c>
      <c r="AS112" s="5">
        <f t="shared" si="198"/>
        <v>1.1277777777777775</v>
      </c>
      <c r="AT112" s="5">
        <f t="shared" si="199"/>
        <v>34.91507936507935</v>
      </c>
      <c r="AU112" s="178">
        <f t="shared" si="200"/>
        <v>3.1289910600255433E-2</v>
      </c>
      <c r="AW112" s="5">
        <f t="shared" si="201"/>
        <v>7.5185185185185174E-2</v>
      </c>
      <c r="AX112" s="5">
        <f t="shared" si="202"/>
        <v>3.7592592592592587E-2</v>
      </c>
      <c r="AY112" s="5">
        <f t="shared" si="203"/>
        <v>0.13612116711531907</v>
      </c>
      <c r="AZ112" s="5"/>
      <c r="BA112" s="178">
        <f t="shared" si="204"/>
        <v>2.9616895411692979E-2</v>
      </c>
      <c r="BB112" s="178">
        <f t="shared" si="205"/>
        <v>0.32958260172227644</v>
      </c>
      <c r="BC112" s="178">
        <f t="shared" si="206"/>
        <v>0.16479130086113822</v>
      </c>
      <c r="BD112" s="178"/>
      <c r="BE112" s="545">
        <f t="shared" si="207"/>
        <v>3.0700617283950624E-4</v>
      </c>
      <c r="BF112" s="545">
        <f t="shared" si="208"/>
        <v>2.7818965517241389E-3</v>
      </c>
      <c r="BG112" s="545">
        <f t="shared" si="209"/>
        <v>3.4680935394371787E-4</v>
      </c>
      <c r="BH112" s="545">
        <f t="shared" si="210"/>
        <v>2.9481708283789149E-3</v>
      </c>
      <c r="BI112">
        <f t="shared" si="211"/>
        <v>6.2640000000000005E-3</v>
      </c>
      <c r="BK112" s="471">
        <f t="shared" si="212"/>
        <v>12.647882906886279</v>
      </c>
      <c r="BL112" s="178">
        <f t="shared" si="213"/>
        <v>2.3999999999999998E-3</v>
      </c>
      <c r="BM112" s="178">
        <f t="shared" si="214"/>
        <v>1.1999999999999999E-3</v>
      </c>
      <c r="BN112" s="545"/>
      <c r="BP112" s="471">
        <f t="shared" si="215"/>
        <v>3.6</v>
      </c>
      <c r="BQ112" s="545">
        <f t="shared" si="216"/>
        <v>8.333024691358027E-5</v>
      </c>
      <c r="BR112" s="545">
        <f t="shared" si="217"/>
        <v>9.7762222222222209E-3</v>
      </c>
      <c r="BS112" s="545">
        <f t="shared" si="218"/>
        <v>2.7156172839506174E-3</v>
      </c>
      <c r="BT112" s="545">
        <f t="shared" si="219"/>
        <v>9.1815704906948158E-6</v>
      </c>
      <c r="BU112" s="545"/>
      <c r="BV112" s="655">
        <f t="shared" si="220"/>
        <v>5.2500000000000018E-4</v>
      </c>
      <c r="BW112" s="471">
        <f t="shared" si="221"/>
        <v>13.109351323577116</v>
      </c>
      <c r="BX112" s="178">
        <f t="shared" si="222"/>
        <v>2.9357234230463391E-2</v>
      </c>
      <c r="BY112" s="5">
        <f t="shared" si="223"/>
        <v>0.14400000000000002</v>
      </c>
      <c r="BZ112" s="178">
        <f t="shared" si="224"/>
        <v>0.83065469196725017</v>
      </c>
      <c r="CA112" s="5">
        <f t="shared" si="225"/>
        <v>83.065469196725019</v>
      </c>
      <c r="CB112">
        <f t="shared" si="226"/>
        <v>2</v>
      </c>
      <c r="CD112" s="580">
        <f t="shared" si="227"/>
        <v>-50</v>
      </c>
      <c r="CE112">
        <f t="shared" si="228"/>
        <v>-50</v>
      </c>
    </row>
    <row r="113" spans="5:83" x14ac:dyDescent="0.2">
      <c r="E113" s="175">
        <v>3</v>
      </c>
      <c r="F113" s="222">
        <f t="shared" si="229"/>
        <v>1.2E-2</v>
      </c>
      <c r="G113" s="222">
        <f t="shared" si="168"/>
        <v>6.0000000000000001E-3</v>
      </c>
      <c r="H113" s="222">
        <f t="shared" si="169"/>
        <v>0.14400000000000002</v>
      </c>
      <c r="I113" s="222">
        <f t="shared" si="170"/>
        <v>7.2000000000000008E-2</v>
      </c>
      <c r="J113" s="558">
        <f t="shared" si="171"/>
        <v>21.6</v>
      </c>
      <c r="K113" s="453">
        <f t="shared" si="172"/>
        <v>24.5</v>
      </c>
      <c r="L113" s="453">
        <f t="shared" si="173"/>
        <v>46.1</v>
      </c>
      <c r="M113" s="453"/>
      <c r="N113" s="222">
        <f t="shared" si="174"/>
        <v>0.53145336225596529</v>
      </c>
      <c r="O113" s="177">
        <f t="shared" si="175"/>
        <v>5.2709544468546632</v>
      </c>
      <c r="P113" s="177">
        <f t="shared" si="176"/>
        <v>3.9532158351409978</v>
      </c>
      <c r="Q113" s="222">
        <f t="shared" si="177"/>
        <v>0.43924620390455527</v>
      </c>
      <c r="R113" s="222">
        <f t="shared" si="178"/>
        <v>0.43924620390455527</v>
      </c>
      <c r="S113" s="222">
        <f t="shared" si="179"/>
        <v>12</v>
      </c>
      <c r="T113" s="222">
        <f t="shared" si="180"/>
        <v>3.9613319011815258E-2</v>
      </c>
      <c r="U113" s="222">
        <f t="shared" si="181"/>
        <v>0.15405179615705933</v>
      </c>
      <c r="V113" s="222">
        <f t="shared" si="182"/>
        <v>0.13581709375479517</v>
      </c>
      <c r="W113" s="202">
        <f t="shared" si="183"/>
        <v>350</v>
      </c>
      <c r="X113" s="453">
        <f t="shared" si="184"/>
        <v>350</v>
      </c>
      <c r="Z113" s="222">
        <f t="shared" si="185"/>
        <v>0.39045553145336231</v>
      </c>
      <c r="AA113" s="178">
        <f t="shared" si="186"/>
        <v>1.3387046792686708</v>
      </c>
      <c r="AB113" s="178">
        <f t="shared" si="187"/>
        <v>0.12196441763402208</v>
      </c>
      <c r="AC113" s="178"/>
      <c r="AD113" s="178">
        <f t="shared" si="188"/>
        <v>0.99428571428571422</v>
      </c>
      <c r="AE113" s="562">
        <f t="shared" si="189"/>
        <v>41.617122473246148</v>
      </c>
      <c r="AF113" s="545">
        <f t="shared" si="190"/>
        <v>0.10091999999999998</v>
      </c>
      <c r="AH113" s="178">
        <f t="shared" si="191"/>
        <v>0.12121830534626531</v>
      </c>
      <c r="AI113" s="178">
        <f t="shared" si="192"/>
        <v>0.28999999999999998</v>
      </c>
      <c r="AJ113" s="178">
        <f t="shared" si="193"/>
        <v>1.0237812128418549</v>
      </c>
      <c r="AL113" s="562">
        <f t="shared" si="194"/>
        <v>12</v>
      </c>
      <c r="AM113" s="471">
        <f t="shared" si="195"/>
        <v>41.617122473246148</v>
      </c>
      <c r="AO113" s="471">
        <f t="shared" si="196"/>
        <v>12</v>
      </c>
      <c r="AP113" s="471">
        <f t="shared" si="197"/>
        <v>41.617122473246148</v>
      </c>
      <c r="AR113" s="5">
        <f t="shared" si="146"/>
        <v>24.028571428571421</v>
      </c>
      <c r="AS113" s="5">
        <f t="shared" si="198"/>
        <v>1.1277777777777775</v>
      </c>
      <c r="AT113" s="5">
        <f t="shared" si="199"/>
        <v>22.900793650793645</v>
      </c>
      <c r="AU113" s="178">
        <f t="shared" si="200"/>
        <v>4.6934865900383149E-2</v>
      </c>
      <c r="AW113" s="5">
        <f t="shared" si="201"/>
        <v>0.11277777777777777</v>
      </c>
      <c r="AX113" s="5">
        <f t="shared" si="202"/>
        <v>5.6388888888888884E-2</v>
      </c>
      <c r="AY113" s="5">
        <f t="shared" si="203"/>
        <v>0.13392276988768212</v>
      </c>
      <c r="AZ113" s="5"/>
      <c r="BA113" s="178">
        <f t="shared" si="204"/>
        <v>3.627314076201206E-2</v>
      </c>
      <c r="BB113" s="178">
        <f t="shared" si="205"/>
        <v>0.32691033995634083</v>
      </c>
      <c r="BC113" s="178">
        <f t="shared" si="206"/>
        <v>0.16345516997817042</v>
      </c>
      <c r="BD113" s="178"/>
      <c r="BE113" s="545">
        <f t="shared" si="207"/>
        <v>4.6050925925925925E-4</v>
      </c>
      <c r="BF113" s="545">
        <f t="shared" si="208"/>
        <v>4.1728448275862081E-3</v>
      </c>
      <c r="BG113" s="545">
        <f t="shared" si="209"/>
        <v>5.2021403091557681E-4</v>
      </c>
      <c r="BH113" s="545">
        <f t="shared" si="210"/>
        <v>4.4222562425683719E-3</v>
      </c>
      <c r="BI113">
        <f t="shared" si="211"/>
        <v>6.2640000000000005E-3</v>
      </c>
      <c r="BK113" s="471">
        <f t="shared" si="212"/>
        <v>15.839824360329414</v>
      </c>
      <c r="BL113" s="178">
        <f t="shared" si="213"/>
        <v>3.5999999999999999E-3</v>
      </c>
      <c r="BM113" s="178">
        <f t="shared" si="214"/>
        <v>1.8E-3</v>
      </c>
      <c r="BN113" s="545"/>
      <c r="BP113" s="471">
        <f t="shared" si="215"/>
        <v>5.4</v>
      </c>
      <c r="BQ113" s="545">
        <f t="shared" si="216"/>
        <v>1.2499537037037036E-4</v>
      </c>
      <c r="BR113" s="545">
        <f t="shared" si="217"/>
        <v>9.6183333333333294E-3</v>
      </c>
      <c r="BS113" s="545">
        <f t="shared" si="218"/>
        <v>2.6717592592592587E-3</v>
      </c>
      <c r="BT113" s="545">
        <f t="shared" si="219"/>
        <v>2.5301433082047374E-5</v>
      </c>
      <c r="BU113" s="545"/>
      <c r="BV113" s="655">
        <f t="shared" si="220"/>
        <v>7.8750000000000022E-4</v>
      </c>
      <c r="BW113" s="471">
        <f t="shared" si="221"/>
        <v>13.227889396045008</v>
      </c>
      <c r="BX113" s="178">
        <f t="shared" si="222"/>
        <v>3.4467713756374418E-2</v>
      </c>
      <c r="BY113" s="5">
        <f t="shared" si="223"/>
        <v>0.21600000000000003</v>
      </c>
      <c r="BZ113" s="178">
        <f t="shared" si="224"/>
        <v>0.86238659969603682</v>
      </c>
      <c r="CA113" s="5">
        <f t="shared" si="225"/>
        <v>86.238659969603688</v>
      </c>
      <c r="CB113">
        <f t="shared" si="226"/>
        <v>3</v>
      </c>
      <c r="CD113" s="580">
        <f t="shared" si="227"/>
        <v>-50</v>
      </c>
      <c r="CE113">
        <f t="shared" si="228"/>
        <v>-50</v>
      </c>
    </row>
    <row r="114" spans="5:83" x14ac:dyDescent="0.2">
      <c r="E114" s="175">
        <v>4</v>
      </c>
      <c r="F114" s="222">
        <f t="shared" si="229"/>
        <v>1.6E-2</v>
      </c>
      <c r="G114" s="222">
        <f t="shared" si="168"/>
        <v>8.0000000000000002E-3</v>
      </c>
      <c r="H114" s="222">
        <f t="shared" si="169"/>
        <v>0.192</v>
      </c>
      <c r="I114" s="222">
        <f t="shared" si="170"/>
        <v>9.6000000000000002E-2</v>
      </c>
      <c r="J114" s="558">
        <f t="shared" si="171"/>
        <v>21.6</v>
      </c>
      <c r="K114" s="453">
        <f t="shared" si="172"/>
        <v>24.5</v>
      </c>
      <c r="L114" s="453">
        <f t="shared" si="173"/>
        <v>46.1</v>
      </c>
      <c r="M114" s="453"/>
      <c r="N114" s="222">
        <f t="shared" si="174"/>
        <v>0.53145336225596529</v>
      </c>
      <c r="O114" s="177">
        <f t="shared" si="175"/>
        <v>5.2709544468546632</v>
      </c>
      <c r="P114" s="177">
        <f t="shared" si="176"/>
        <v>3.9532158351409978</v>
      </c>
      <c r="Q114" s="222">
        <f t="shared" si="177"/>
        <v>0.43924620390455527</v>
      </c>
      <c r="R114" s="222">
        <f t="shared" si="178"/>
        <v>0.43924620390455527</v>
      </c>
      <c r="S114" s="222">
        <f t="shared" si="179"/>
        <v>12</v>
      </c>
      <c r="T114" s="222">
        <f t="shared" si="180"/>
        <v>5.2817758682420342E-2</v>
      </c>
      <c r="U114" s="222">
        <f t="shared" si="181"/>
        <v>0.20540239487607909</v>
      </c>
      <c r="V114" s="222">
        <f t="shared" si="182"/>
        <v>0.18108945833972687</v>
      </c>
      <c r="W114" s="202">
        <f t="shared" si="183"/>
        <v>350</v>
      </c>
      <c r="X114" s="453">
        <f t="shared" si="184"/>
        <v>350</v>
      </c>
      <c r="Z114" s="222">
        <f t="shared" si="185"/>
        <v>0.39045553145336231</v>
      </c>
      <c r="AA114" s="178">
        <f t="shared" si="186"/>
        <v>1.3387046792686708</v>
      </c>
      <c r="AB114" s="178">
        <f t="shared" si="187"/>
        <v>0.12196441763402208</v>
      </c>
      <c r="AC114" s="178"/>
      <c r="AD114" s="178">
        <f t="shared" si="188"/>
        <v>0.99428571428571422</v>
      </c>
      <c r="AE114" s="562">
        <f t="shared" si="189"/>
        <v>55.489496630994864</v>
      </c>
      <c r="AF114" s="545">
        <f t="shared" si="190"/>
        <v>0.10091999999999998</v>
      </c>
      <c r="AH114" s="178">
        <f t="shared" si="191"/>
        <v>0.13997084244475305</v>
      </c>
      <c r="AI114" s="178">
        <f t="shared" si="192"/>
        <v>0.28999999999999998</v>
      </c>
      <c r="AJ114" s="178">
        <f t="shared" si="193"/>
        <v>1.0317082837891398</v>
      </c>
      <c r="AL114" s="562">
        <f t="shared" si="194"/>
        <v>16</v>
      </c>
      <c r="AM114" s="471">
        <f t="shared" si="195"/>
        <v>55.489496630994864</v>
      </c>
      <c r="AO114" s="471">
        <f t="shared" si="196"/>
        <v>16</v>
      </c>
      <c r="AP114" s="471">
        <f t="shared" si="197"/>
        <v>55.489496630994864</v>
      </c>
      <c r="AR114" s="5">
        <f t="shared" si="146"/>
        <v>18.021428571428565</v>
      </c>
      <c r="AS114" s="5">
        <f t="shared" si="198"/>
        <v>1.1277777777777775</v>
      </c>
      <c r="AT114" s="5">
        <f t="shared" si="199"/>
        <v>16.893650793650789</v>
      </c>
      <c r="AU114" s="178">
        <f t="shared" si="200"/>
        <v>6.2579821200510866E-2</v>
      </c>
      <c r="AW114" s="5">
        <f t="shared" si="201"/>
        <v>0.15037037037037035</v>
      </c>
      <c r="AX114" s="5">
        <f t="shared" si="202"/>
        <v>7.5185185185185174E-2</v>
      </c>
      <c r="AY114" s="5">
        <f t="shared" si="203"/>
        <v>0.13172437266004514</v>
      </c>
      <c r="AZ114" s="5"/>
      <c r="BA114" s="178">
        <f t="shared" si="204"/>
        <v>4.1884615166601705E-2</v>
      </c>
      <c r="BB114" s="178">
        <f t="shared" si="205"/>
        <v>0.32421605355490346</v>
      </c>
      <c r="BC114" s="178">
        <f t="shared" si="206"/>
        <v>0.16210802677745173</v>
      </c>
      <c r="BD114" s="178"/>
      <c r="BE114" s="545">
        <f t="shared" si="207"/>
        <v>6.1401234567901248E-4</v>
      </c>
      <c r="BF114" s="545">
        <f t="shared" si="208"/>
        <v>5.5637931034482778E-3</v>
      </c>
      <c r="BG114" s="545">
        <f t="shared" si="209"/>
        <v>6.9361870788743575E-4</v>
      </c>
      <c r="BH114" s="545">
        <f t="shared" si="210"/>
        <v>5.8963416567578298E-3</v>
      </c>
      <c r="BI114">
        <f t="shared" si="211"/>
        <v>6.2640000000000005E-3</v>
      </c>
      <c r="BK114" s="471">
        <f t="shared" si="212"/>
        <v>19.031765813772555</v>
      </c>
      <c r="BL114" s="178">
        <f t="shared" si="213"/>
        <v>4.7999999999999996E-3</v>
      </c>
      <c r="BM114" s="178">
        <f t="shared" si="214"/>
        <v>2.3999999999999998E-3</v>
      </c>
      <c r="BN114" s="545"/>
      <c r="BP114" s="471">
        <f t="shared" si="215"/>
        <v>7.2</v>
      </c>
      <c r="BQ114" s="545">
        <f t="shared" si="216"/>
        <v>1.6666049382716054E-4</v>
      </c>
      <c r="BR114" s="545">
        <f t="shared" si="217"/>
        <v>9.4604444444444415E-3</v>
      </c>
      <c r="BS114" s="545">
        <f t="shared" si="218"/>
        <v>2.6279012345679009E-3</v>
      </c>
      <c r="BT114" s="545">
        <f t="shared" si="219"/>
        <v>5.1938806047300876E-5</v>
      </c>
      <c r="BU114" s="545"/>
      <c r="BV114" s="655">
        <f t="shared" si="220"/>
        <v>1.0500000000000004E-3</v>
      </c>
      <c r="BW114" s="471">
        <f t="shared" si="221"/>
        <v>13.356944978886805</v>
      </c>
      <c r="BX114" s="178">
        <f t="shared" si="222"/>
        <v>3.9588710792659361E-2</v>
      </c>
      <c r="BY114" s="5">
        <f t="shared" si="223"/>
        <v>0.28800000000000003</v>
      </c>
      <c r="BZ114" s="178">
        <f t="shared" si="224"/>
        <v>0.87915117496916362</v>
      </c>
      <c r="CA114" s="5">
        <f t="shared" si="225"/>
        <v>87.915117496916366</v>
      </c>
      <c r="CB114">
        <f t="shared" si="226"/>
        <v>4</v>
      </c>
      <c r="CD114" s="580">
        <f t="shared" si="227"/>
        <v>-50</v>
      </c>
      <c r="CE114">
        <f t="shared" si="228"/>
        <v>-50</v>
      </c>
    </row>
    <row r="115" spans="5:83" x14ac:dyDescent="0.2">
      <c r="E115" s="175">
        <v>5</v>
      </c>
      <c r="F115" s="222">
        <f t="shared" si="229"/>
        <v>2.0000000000000004E-2</v>
      </c>
      <c r="G115" s="222">
        <f t="shared" si="168"/>
        <v>1.0000000000000002E-2</v>
      </c>
      <c r="H115" s="222">
        <f t="shared" si="169"/>
        <v>0.24000000000000005</v>
      </c>
      <c r="I115" s="222">
        <f t="shared" si="170"/>
        <v>0.12000000000000002</v>
      </c>
      <c r="J115" s="558">
        <f t="shared" si="171"/>
        <v>21.6</v>
      </c>
      <c r="K115" s="453">
        <f t="shared" si="172"/>
        <v>24.5</v>
      </c>
      <c r="L115" s="453">
        <f t="shared" si="173"/>
        <v>46.1</v>
      </c>
      <c r="M115" s="453"/>
      <c r="N115" s="222">
        <f t="shared" si="174"/>
        <v>0.53145336225596529</v>
      </c>
      <c r="O115" s="177">
        <f t="shared" si="175"/>
        <v>5.2709544468546632</v>
      </c>
      <c r="P115" s="177">
        <f t="shared" si="176"/>
        <v>3.9532158351409978</v>
      </c>
      <c r="Q115" s="222">
        <f t="shared" si="177"/>
        <v>0.43924620390455527</v>
      </c>
      <c r="R115" s="222">
        <f t="shared" si="178"/>
        <v>0.43924620390455527</v>
      </c>
      <c r="S115" s="222">
        <f t="shared" si="179"/>
        <v>12</v>
      </c>
      <c r="T115" s="222">
        <f t="shared" si="180"/>
        <v>6.6022198353025432E-2</v>
      </c>
      <c r="U115" s="222">
        <f t="shared" si="181"/>
        <v>0.25675299359509884</v>
      </c>
      <c r="V115" s="222">
        <f t="shared" si="182"/>
        <v>0.22636182292465862</v>
      </c>
      <c r="W115" s="202">
        <f t="shared" si="183"/>
        <v>350</v>
      </c>
      <c r="X115" s="453">
        <f t="shared" si="184"/>
        <v>350</v>
      </c>
      <c r="Z115" s="222">
        <f t="shared" si="185"/>
        <v>0.39045553145336231</v>
      </c>
      <c r="AA115" s="178">
        <f t="shared" si="186"/>
        <v>1.3387046792686708</v>
      </c>
      <c r="AB115" s="178">
        <f t="shared" si="187"/>
        <v>0.12196441763402208</v>
      </c>
      <c r="AC115" s="178"/>
      <c r="AD115" s="178">
        <f t="shared" si="188"/>
        <v>0.99428571428571422</v>
      </c>
      <c r="AE115" s="562">
        <f t="shared" si="189"/>
        <v>69.361870788743587</v>
      </c>
      <c r="AF115" s="545">
        <f t="shared" si="190"/>
        <v>0.10091999999999998</v>
      </c>
      <c r="AH115" s="178">
        <f t="shared" si="191"/>
        <v>0.15649215928719035</v>
      </c>
      <c r="AI115" s="178">
        <f t="shared" si="192"/>
        <v>0.28999999999999998</v>
      </c>
      <c r="AJ115" s="178">
        <f t="shared" si="193"/>
        <v>1.039635354736425</v>
      </c>
      <c r="AL115" s="562">
        <f t="shared" si="194"/>
        <v>20.000000000000004</v>
      </c>
      <c r="AM115" s="471">
        <f t="shared" si="195"/>
        <v>69.361870788743587</v>
      </c>
      <c r="AO115" s="471">
        <f t="shared" si="196"/>
        <v>20.000000000000004</v>
      </c>
      <c r="AP115" s="471">
        <f t="shared" si="197"/>
        <v>69.361870788743587</v>
      </c>
      <c r="AR115" s="5">
        <f t="shared" si="146"/>
        <v>14.417142857142851</v>
      </c>
      <c r="AS115" s="5">
        <f t="shared" ref="AS115:AS178" si="230">L*AI115/J115*1000000</f>
        <v>1.1277777777777775</v>
      </c>
      <c r="AT115" s="5">
        <f t="shared" ref="AT115:AT178" si="231">AR115-AS115</f>
        <v>13.289365079365073</v>
      </c>
      <c r="AU115" s="178">
        <f t="shared" ref="AU115:AU178" si="232">AS115/AR115</f>
        <v>7.8224776500638582E-2</v>
      </c>
      <c r="AW115" s="5">
        <f t="shared" si="201"/>
        <v>0.18796296296296297</v>
      </c>
      <c r="AX115" s="5">
        <f t="shared" si="202"/>
        <v>9.3981481481481485E-2</v>
      </c>
      <c r="AY115" s="5">
        <f t="shared" si="203"/>
        <v>0.12952597543240812</v>
      </c>
      <c r="AZ115" s="5"/>
      <c r="BA115" s="178">
        <f t="shared" si="204"/>
        <v>4.6828423361970038E-2</v>
      </c>
      <c r="BB115" s="178">
        <f t="shared" si="205"/>
        <v>0.32149918879378481</v>
      </c>
      <c r="BC115" s="178">
        <f t="shared" si="206"/>
        <v>0.1607495943968924</v>
      </c>
      <c r="BD115" s="178"/>
      <c r="BE115" s="545">
        <f t="shared" si="207"/>
        <v>7.6751543209876538E-4</v>
      </c>
      <c r="BF115" s="545">
        <f t="shared" si="208"/>
        <v>6.9547413793103465E-3</v>
      </c>
      <c r="BG115" s="545">
        <f t="shared" si="209"/>
        <v>8.6702338485929479E-4</v>
      </c>
      <c r="BH115" s="545">
        <f t="shared" si="210"/>
        <v>7.3704270709472877E-3</v>
      </c>
      <c r="BI115">
        <f t="shared" si="211"/>
        <v>6.2640000000000005E-3</v>
      </c>
      <c r="BK115" s="471">
        <f t="shared" si="212"/>
        <v>22.223707267215698</v>
      </c>
      <c r="BL115" s="178">
        <f t="shared" si="213"/>
        <v>6.000000000000001E-3</v>
      </c>
      <c r="BM115" s="178">
        <f t="shared" si="214"/>
        <v>3.0000000000000005E-3</v>
      </c>
      <c r="BN115" s="545"/>
      <c r="BP115" s="471">
        <f t="shared" si="215"/>
        <v>9.0000000000000018</v>
      </c>
      <c r="BQ115" s="545">
        <f t="shared" si="216"/>
        <v>2.0832561728395063E-4</v>
      </c>
      <c r="BR115" s="545">
        <f t="shared" si="217"/>
        <v>9.3025555555555518E-3</v>
      </c>
      <c r="BS115" s="545">
        <f t="shared" si="218"/>
        <v>2.5840432098765426E-3</v>
      </c>
      <c r="BT115" s="545">
        <f t="shared" si="219"/>
        <v>9.0733360149954551E-5</v>
      </c>
      <c r="BU115" s="545"/>
      <c r="BV115" s="655">
        <f t="shared" si="220"/>
        <v>1.3125000000000005E-3</v>
      </c>
      <c r="BW115" s="471">
        <f t="shared" si="221"/>
        <v>13.498157742866001</v>
      </c>
      <c r="BX115" s="178">
        <f t="shared" si="222"/>
        <v>4.4721865010081692E-2</v>
      </c>
      <c r="BY115" s="5">
        <f t="shared" si="223"/>
        <v>0.3600000000000001</v>
      </c>
      <c r="BZ115" s="178">
        <f t="shared" si="224"/>
        <v>0.88949975556925331</v>
      </c>
      <c r="CA115" s="5">
        <f t="shared" si="225"/>
        <v>88.949975556925338</v>
      </c>
      <c r="CB115">
        <f t="shared" si="226"/>
        <v>5.0000000000000009</v>
      </c>
      <c r="CD115" s="580">
        <f t="shared" si="227"/>
        <v>-50</v>
      </c>
      <c r="CE115">
        <f t="shared" si="228"/>
        <v>-50</v>
      </c>
    </row>
    <row r="116" spans="5:83" x14ac:dyDescent="0.2">
      <c r="E116" s="175">
        <v>6</v>
      </c>
      <c r="F116" s="222">
        <f t="shared" si="229"/>
        <v>2.4E-2</v>
      </c>
      <c r="G116" s="222">
        <f t="shared" si="168"/>
        <v>1.2E-2</v>
      </c>
      <c r="H116" s="222">
        <f t="shared" si="169"/>
        <v>0.28800000000000003</v>
      </c>
      <c r="I116" s="222">
        <f t="shared" si="170"/>
        <v>0.14400000000000002</v>
      </c>
      <c r="J116" s="558">
        <f t="shared" si="171"/>
        <v>21.6</v>
      </c>
      <c r="K116" s="453">
        <f t="shared" si="172"/>
        <v>24.5</v>
      </c>
      <c r="L116" s="453">
        <f t="shared" si="173"/>
        <v>46.1</v>
      </c>
      <c r="M116" s="453"/>
      <c r="N116" s="222">
        <f t="shared" si="174"/>
        <v>0.53145336225596529</v>
      </c>
      <c r="O116" s="177">
        <f t="shared" si="175"/>
        <v>5.2709544468546632</v>
      </c>
      <c r="P116" s="177">
        <f t="shared" si="176"/>
        <v>3.9532158351409978</v>
      </c>
      <c r="Q116" s="222">
        <f t="shared" si="177"/>
        <v>0.43924620390455527</v>
      </c>
      <c r="R116" s="222">
        <f t="shared" si="178"/>
        <v>0.43924620390455527</v>
      </c>
      <c r="S116" s="222">
        <f t="shared" si="179"/>
        <v>12</v>
      </c>
      <c r="T116" s="222">
        <f t="shared" si="180"/>
        <v>7.9226638023630516E-2</v>
      </c>
      <c r="U116" s="222">
        <f t="shared" si="181"/>
        <v>0.30810359231411866</v>
      </c>
      <c r="V116" s="222">
        <f t="shared" si="182"/>
        <v>0.27163418750959034</v>
      </c>
      <c r="W116" s="202">
        <f t="shared" si="183"/>
        <v>350</v>
      </c>
      <c r="X116" s="453">
        <f t="shared" si="184"/>
        <v>350</v>
      </c>
      <c r="Z116" s="222">
        <f t="shared" si="185"/>
        <v>0.39045553145336231</v>
      </c>
      <c r="AA116" s="178">
        <f t="shared" si="186"/>
        <v>1.3387046792686708</v>
      </c>
      <c r="AB116" s="178">
        <f t="shared" si="187"/>
        <v>0.12196441763402208</v>
      </c>
      <c r="AC116" s="178"/>
      <c r="AD116" s="178">
        <f t="shared" si="188"/>
        <v>0.99428571428571422</v>
      </c>
      <c r="AE116" s="562">
        <f t="shared" si="189"/>
        <v>83.234244946492296</v>
      </c>
      <c r="AF116" s="545">
        <f t="shared" si="190"/>
        <v>0.10091999999999998</v>
      </c>
      <c r="AH116" s="178">
        <f t="shared" si="191"/>
        <v>0.17142857142857146</v>
      </c>
      <c r="AI116" s="178">
        <f t="shared" si="192"/>
        <v>0.28999999999999998</v>
      </c>
      <c r="AJ116" s="178">
        <f t="shared" si="193"/>
        <v>1.0475624256837099</v>
      </c>
      <c r="AL116" s="562">
        <f t="shared" si="194"/>
        <v>24</v>
      </c>
      <c r="AM116" s="471">
        <f t="shared" si="195"/>
        <v>83.234244946492296</v>
      </c>
      <c r="AO116" s="471">
        <f t="shared" si="196"/>
        <v>24</v>
      </c>
      <c r="AP116" s="471">
        <f t="shared" si="197"/>
        <v>83.234244946492296</v>
      </c>
      <c r="AR116" s="5">
        <f t="shared" si="146"/>
        <v>12.014285714285711</v>
      </c>
      <c r="AS116" s="5">
        <f t="shared" si="230"/>
        <v>1.1277777777777775</v>
      </c>
      <c r="AT116" s="5">
        <f t="shared" si="231"/>
        <v>10.886507936507932</v>
      </c>
      <c r="AU116" s="178">
        <f t="shared" si="232"/>
        <v>9.3869731800766298E-2</v>
      </c>
      <c r="AW116" s="5">
        <f t="shared" si="201"/>
        <v>0.22555555555555554</v>
      </c>
      <c r="AX116" s="5">
        <f t="shared" si="202"/>
        <v>0.11277777777777777</v>
      </c>
      <c r="AY116" s="5">
        <f t="shared" si="203"/>
        <v>0.12732757820477114</v>
      </c>
      <c r="AZ116" s="5"/>
      <c r="BA116" s="178">
        <f t="shared" si="204"/>
        <v>5.1297967615505792E-2</v>
      </c>
      <c r="BB116" s="178">
        <f t="shared" si="205"/>
        <v>0.31875916835035095</v>
      </c>
      <c r="BC116" s="178">
        <f t="shared" si="206"/>
        <v>0.15937958417517548</v>
      </c>
      <c r="BD116" s="178"/>
      <c r="BE116" s="545">
        <f t="shared" si="207"/>
        <v>9.2101851851851839E-4</v>
      </c>
      <c r="BF116" s="545">
        <f t="shared" si="208"/>
        <v>8.3456896551724162E-3</v>
      </c>
      <c r="BG116" s="545">
        <f t="shared" si="209"/>
        <v>1.0404280618311536E-3</v>
      </c>
      <c r="BH116" s="545">
        <f t="shared" si="210"/>
        <v>8.8445124851367438E-3</v>
      </c>
      <c r="BI116">
        <f t="shared" si="211"/>
        <v>6.2640000000000005E-3</v>
      </c>
      <c r="BK116" s="471">
        <f t="shared" si="212"/>
        <v>25.41564872065883</v>
      </c>
      <c r="BL116" s="178">
        <f t="shared" si="213"/>
        <v>7.1999999999999998E-3</v>
      </c>
      <c r="BM116" s="178">
        <f t="shared" si="214"/>
        <v>3.5999999999999999E-3</v>
      </c>
      <c r="BN116" s="545"/>
      <c r="BP116" s="471">
        <f t="shared" si="215"/>
        <v>10.8</v>
      </c>
      <c r="BQ116" s="545">
        <f t="shared" si="216"/>
        <v>2.4999074074074073E-4</v>
      </c>
      <c r="BR116" s="545">
        <f t="shared" si="217"/>
        <v>9.1446666666666638E-3</v>
      </c>
      <c r="BS116" s="545">
        <f t="shared" si="218"/>
        <v>2.5401851851851848E-3</v>
      </c>
      <c r="BT116" s="545">
        <f t="shared" si="219"/>
        <v>1.4312651924842644E-4</v>
      </c>
      <c r="BU116" s="545"/>
      <c r="BV116" s="655">
        <f t="shared" si="220"/>
        <v>1.5750000000000004E-3</v>
      </c>
      <c r="BW116" s="471">
        <f t="shared" si="221"/>
        <v>13.652969111841015</v>
      </c>
      <c r="BX116" s="178">
        <f t="shared" si="222"/>
        <v>4.9868617832499844E-2</v>
      </c>
      <c r="BY116" s="5">
        <f t="shared" si="223"/>
        <v>0.43200000000000005</v>
      </c>
      <c r="BZ116" s="178">
        <f t="shared" si="224"/>
        <v>0.89650992825219744</v>
      </c>
      <c r="CA116" s="5">
        <f t="shared" si="225"/>
        <v>89.650992825219745</v>
      </c>
      <c r="CB116">
        <f t="shared" si="226"/>
        <v>6</v>
      </c>
      <c r="CD116" s="580">
        <f t="shared" si="227"/>
        <v>-50</v>
      </c>
      <c r="CE116">
        <f t="shared" si="228"/>
        <v>-50</v>
      </c>
    </row>
    <row r="117" spans="5:83" x14ac:dyDescent="0.2">
      <c r="E117" s="175">
        <v>7</v>
      </c>
      <c r="F117" s="222">
        <f t="shared" si="229"/>
        <v>2.8000000000000004E-2</v>
      </c>
      <c r="G117" s="222">
        <f t="shared" si="168"/>
        <v>1.4000000000000002E-2</v>
      </c>
      <c r="H117" s="222">
        <f t="shared" si="169"/>
        <v>0.33600000000000008</v>
      </c>
      <c r="I117" s="222">
        <f t="shared" si="170"/>
        <v>0.16800000000000004</v>
      </c>
      <c r="J117" s="558">
        <f t="shared" si="171"/>
        <v>21.6</v>
      </c>
      <c r="K117" s="453">
        <f t="shared" si="172"/>
        <v>24.5</v>
      </c>
      <c r="L117" s="453">
        <f t="shared" si="173"/>
        <v>46.1</v>
      </c>
      <c r="M117" s="453"/>
      <c r="N117" s="222">
        <f t="shared" si="174"/>
        <v>0.53145336225596529</v>
      </c>
      <c r="O117" s="177">
        <f t="shared" si="175"/>
        <v>5.2709544468546632</v>
      </c>
      <c r="P117" s="177">
        <f t="shared" si="176"/>
        <v>3.9532158351409978</v>
      </c>
      <c r="Q117" s="222">
        <f t="shared" si="177"/>
        <v>0.43924620390455527</v>
      </c>
      <c r="R117" s="222">
        <f t="shared" si="178"/>
        <v>0.43924620390455527</v>
      </c>
      <c r="S117" s="222">
        <f t="shared" si="179"/>
        <v>12</v>
      </c>
      <c r="T117" s="222">
        <f t="shared" si="180"/>
        <v>9.2431077694235614E-2</v>
      </c>
      <c r="U117" s="222">
        <f t="shared" si="181"/>
        <v>0.35945419103313841</v>
      </c>
      <c r="V117" s="222">
        <f t="shared" si="182"/>
        <v>0.31690655209452201</v>
      </c>
      <c r="W117" s="202">
        <f t="shared" si="183"/>
        <v>350</v>
      </c>
      <c r="X117" s="453">
        <f t="shared" si="184"/>
        <v>350</v>
      </c>
      <c r="Z117" s="222">
        <f t="shared" si="185"/>
        <v>0.39045553145336231</v>
      </c>
      <c r="AA117" s="178">
        <f t="shared" si="186"/>
        <v>1.3387046792686708</v>
      </c>
      <c r="AB117" s="178">
        <f t="shared" si="187"/>
        <v>0.12196441763402208</v>
      </c>
      <c r="AC117" s="178"/>
      <c r="AD117" s="178">
        <f t="shared" si="188"/>
        <v>0.99428571428571422</v>
      </c>
      <c r="AE117" s="562">
        <f t="shared" si="189"/>
        <v>97.10661910424102</v>
      </c>
      <c r="AF117" s="545">
        <f t="shared" si="190"/>
        <v>0.10091999999999998</v>
      </c>
      <c r="AH117" s="178">
        <f t="shared" si="191"/>
        <v>0.18516401995451032</v>
      </c>
      <c r="AI117" s="178">
        <f t="shared" si="192"/>
        <v>0.28999999999999998</v>
      </c>
      <c r="AJ117" s="178">
        <f t="shared" si="193"/>
        <v>1.0554894966309949</v>
      </c>
      <c r="AL117" s="562">
        <f t="shared" si="194"/>
        <v>28.000000000000004</v>
      </c>
      <c r="AM117" s="471">
        <f t="shared" si="195"/>
        <v>97.10661910424102</v>
      </c>
      <c r="AO117" s="471">
        <f t="shared" si="196"/>
        <v>28.000000000000004</v>
      </c>
      <c r="AP117" s="471">
        <f t="shared" si="197"/>
        <v>97.10661910424102</v>
      </c>
      <c r="AR117" s="5">
        <f t="shared" si="146"/>
        <v>10.297959183673466</v>
      </c>
      <c r="AS117" s="5">
        <f t="shared" si="230"/>
        <v>1.1277777777777775</v>
      </c>
      <c r="AT117" s="5">
        <f t="shared" si="231"/>
        <v>9.1701814058956881</v>
      </c>
      <c r="AU117" s="178">
        <f t="shared" si="232"/>
        <v>0.109514687100894</v>
      </c>
      <c r="AW117" s="5">
        <f t="shared" si="201"/>
        <v>0.26314814814814808</v>
      </c>
      <c r="AX117" s="5">
        <f t="shared" si="202"/>
        <v>0.13157407407407404</v>
      </c>
      <c r="AY117" s="5">
        <f t="shared" si="203"/>
        <v>0.12512918097713416</v>
      </c>
      <c r="AZ117" s="5"/>
      <c r="BA117" s="178">
        <f t="shared" si="204"/>
        <v>5.540813774523614E-2</v>
      </c>
      <c r="BB117" s="178">
        <f t="shared" si="205"/>
        <v>0.31599538987104397</v>
      </c>
      <c r="BC117" s="178">
        <f t="shared" si="206"/>
        <v>0.15799769493552199</v>
      </c>
      <c r="BD117" s="178"/>
      <c r="BE117" s="545">
        <f t="shared" si="207"/>
        <v>1.0745216049382715E-3</v>
      </c>
      <c r="BF117" s="545">
        <f t="shared" si="208"/>
        <v>9.736637931034485E-3</v>
      </c>
      <c r="BG117" s="545">
        <f t="shared" si="209"/>
        <v>1.2138327388030127E-3</v>
      </c>
      <c r="BH117" s="545">
        <f t="shared" si="210"/>
        <v>1.0318597899326203E-2</v>
      </c>
      <c r="BI117">
        <f t="shared" si="211"/>
        <v>6.2640000000000005E-3</v>
      </c>
      <c r="BK117" s="471">
        <f t="shared" si="212"/>
        <v>28.607590174101972</v>
      </c>
      <c r="BL117" s="178">
        <f t="shared" si="213"/>
        <v>8.4000000000000012E-3</v>
      </c>
      <c r="BM117" s="178">
        <f t="shared" si="214"/>
        <v>4.2000000000000006E-3</v>
      </c>
      <c r="BN117" s="545"/>
      <c r="BP117" s="471">
        <f t="shared" si="215"/>
        <v>12.600000000000001</v>
      </c>
      <c r="BQ117" s="545">
        <f t="shared" si="216"/>
        <v>2.916558641975309E-4</v>
      </c>
      <c r="BR117" s="545">
        <f t="shared" si="217"/>
        <v>8.9867777777777776E-3</v>
      </c>
      <c r="BS117" s="545">
        <f t="shared" si="218"/>
        <v>2.4963271604938274E-3</v>
      </c>
      <c r="BT117" s="545">
        <f t="shared" si="219"/>
        <v>2.1042003267325015E-4</v>
      </c>
      <c r="BU117" s="545"/>
      <c r="BV117" s="655">
        <f t="shared" si="220"/>
        <v>1.8375000000000006E-3</v>
      </c>
      <c r="BW117" s="471">
        <f t="shared" si="221"/>
        <v>13.822680835142387</v>
      </c>
      <c r="BX117" s="178">
        <f t="shared" si="222"/>
        <v>5.5030271009244354E-2</v>
      </c>
      <c r="BY117" s="5">
        <f t="shared" si="223"/>
        <v>0.50400000000000011</v>
      </c>
      <c r="BZ117" s="178">
        <f t="shared" si="224"/>
        <v>0.90156119648065647</v>
      </c>
      <c r="CA117" s="5">
        <f t="shared" si="225"/>
        <v>90.156119648065641</v>
      </c>
      <c r="CB117">
        <f t="shared" si="226"/>
        <v>7.0000000000000009</v>
      </c>
      <c r="CD117" s="580">
        <f t="shared" si="227"/>
        <v>-50</v>
      </c>
      <c r="CE117">
        <f t="shared" si="228"/>
        <v>-50</v>
      </c>
    </row>
    <row r="118" spans="5:83" x14ac:dyDescent="0.2">
      <c r="E118" s="175">
        <v>8</v>
      </c>
      <c r="F118" s="222">
        <f t="shared" si="229"/>
        <v>3.2000000000000001E-2</v>
      </c>
      <c r="G118" s="222">
        <f t="shared" si="168"/>
        <v>1.6E-2</v>
      </c>
      <c r="H118" s="222">
        <f t="shared" si="169"/>
        <v>0.38400000000000001</v>
      </c>
      <c r="I118" s="222">
        <f t="shared" si="170"/>
        <v>0.192</v>
      </c>
      <c r="J118" s="558">
        <f t="shared" si="171"/>
        <v>21.6</v>
      </c>
      <c r="K118" s="453">
        <f t="shared" si="172"/>
        <v>24.5</v>
      </c>
      <c r="L118" s="453">
        <f t="shared" si="173"/>
        <v>46.1</v>
      </c>
      <c r="M118" s="453"/>
      <c r="N118" s="222">
        <f t="shared" si="174"/>
        <v>0.53145336225596529</v>
      </c>
      <c r="O118" s="177">
        <f t="shared" si="175"/>
        <v>5.2709544468546632</v>
      </c>
      <c r="P118" s="177">
        <f t="shared" si="176"/>
        <v>3.9532158351409978</v>
      </c>
      <c r="Q118" s="222">
        <f t="shared" si="177"/>
        <v>0.43924620390455527</v>
      </c>
      <c r="R118" s="222">
        <f t="shared" si="178"/>
        <v>0.43924620390455527</v>
      </c>
      <c r="S118" s="222">
        <f t="shared" si="179"/>
        <v>12</v>
      </c>
      <c r="T118" s="222">
        <f t="shared" si="180"/>
        <v>0.10563551736484068</v>
      </c>
      <c r="U118" s="222">
        <f t="shared" si="181"/>
        <v>0.41080478975215817</v>
      </c>
      <c r="V118" s="222">
        <f t="shared" si="182"/>
        <v>0.36217891667945373</v>
      </c>
      <c r="W118" s="202">
        <f t="shared" si="183"/>
        <v>350</v>
      </c>
      <c r="X118" s="453">
        <f t="shared" si="184"/>
        <v>350</v>
      </c>
      <c r="Z118" s="222">
        <f t="shared" si="185"/>
        <v>0.39045553145336231</v>
      </c>
      <c r="AA118" s="178">
        <f t="shared" si="186"/>
        <v>1.3387046792686708</v>
      </c>
      <c r="AB118" s="178">
        <f t="shared" si="187"/>
        <v>0.12196441763402208</v>
      </c>
      <c r="AC118" s="178"/>
      <c r="AD118" s="178">
        <f t="shared" si="188"/>
        <v>0.99428571428571422</v>
      </c>
      <c r="AE118" s="562">
        <f t="shared" si="189"/>
        <v>110.97899326198973</v>
      </c>
      <c r="AF118" s="545">
        <f t="shared" si="190"/>
        <v>0.10091999999999998</v>
      </c>
      <c r="AH118" s="178">
        <f t="shared" si="191"/>
        <v>0.19794866372215741</v>
      </c>
      <c r="AI118" s="178">
        <f t="shared" si="192"/>
        <v>0.28999999999999998</v>
      </c>
      <c r="AJ118" s="178">
        <f t="shared" si="193"/>
        <v>1.0634165675782798</v>
      </c>
      <c r="AL118" s="562">
        <f t="shared" si="194"/>
        <v>32</v>
      </c>
      <c r="AM118" s="471">
        <f t="shared" si="195"/>
        <v>110.97899326198973</v>
      </c>
      <c r="AO118" s="471">
        <f t="shared" si="196"/>
        <v>32</v>
      </c>
      <c r="AP118" s="471">
        <f t="shared" si="197"/>
        <v>110.97899326198973</v>
      </c>
      <c r="AR118" s="5">
        <f t="shared" si="146"/>
        <v>9.0107142857142826</v>
      </c>
      <c r="AS118" s="5">
        <f t="shared" si="230"/>
        <v>1.1277777777777775</v>
      </c>
      <c r="AT118" s="5">
        <f t="shared" si="231"/>
        <v>7.8829365079365052</v>
      </c>
      <c r="AU118" s="178">
        <f t="shared" si="232"/>
        <v>0.12515964240102173</v>
      </c>
      <c r="AW118" s="5">
        <f t="shared" si="201"/>
        <v>0.3007407407407407</v>
      </c>
      <c r="AX118" s="5">
        <f t="shared" si="202"/>
        <v>0.15037037037037035</v>
      </c>
      <c r="AY118" s="5">
        <f t="shared" si="203"/>
        <v>0.12293078374949715</v>
      </c>
      <c r="AZ118" s="5"/>
      <c r="BA118" s="178">
        <f t="shared" si="204"/>
        <v>5.9233790823385958E-2</v>
      </c>
      <c r="BB118" s="178">
        <f t="shared" si="205"/>
        <v>0.31320722442513799</v>
      </c>
      <c r="BC118" s="178">
        <f t="shared" si="206"/>
        <v>0.15660361221256899</v>
      </c>
      <c r="BD118" s="178"/>
      <c r="BE118" s="545">
        <f t="shared" si="207"/>
        <v>1.228024691358025E-3</v>
      </c>
      <c r="BF118" s="545">
        <f t="shared" si="208"/>
        <v>1.1127586206896556E-2</v>
      </c>
      <c r="BG118" s="545">
        <f t="shared" si="209"/>
        <v>1.3872374157748715E-3</v>
      </c>
      <c r="BH118" s="545">
        <f t="shared" si="210"/>
        <v>1.179268331351566E-2</v>
      </c>
      <c r="BI118">
        <f t="shared" si="211"/>
        <v>6.2640000000000005E-3</v>
      </c>
      <c r="BK118" s="471">
        <f t="shared" si="212"/>
        <v>31.799531627545111</v>
      </c>
      <c r="BL118" s="178">
        <f t="shared" si="213"/>
        <v>9.5999999999999992E-3</v>
      </c>
      <c r="BM118" s="178">
        <f t="shared" si="214"/>
        <v>4.7999999999999996E-3</v>
      </c>
      <c r="BN118" s="545"/>
      <c r="BP118" s="471">
        <f t="shared" si="215"/>
        <v>14.4</v>
      </c>
      <c r="BQ118" s="545">
        <f t="shared" si="216"/>
        <v>3.3332098765432108E-4</v>
      </c>
      <c r="BR118" s="545">
        <f t="shared" si="217"/>
        <v>8.8288888888888879E-3</v>
      </c>
      <c r="BS118" s="545">
        <f t="shared" si="218"/>
        <v>2.4524691358024688E-3</v>
      </c>
      <c r="BT118" s="545">
        <f t="shared" si="219"/>
        <v>2.9381025570223421E-4</v>
      </c>
      <c r="BU118" s="545"/>
      <c r="BV118" s="655">
        <f t="shared" si="220"/>
        <v>2.1000000000000007E-3</v>
      </c>
      <c r="BW118" s="471">
        <f t="shared" si="221"/>
        <v>14.008489268047912</v>
      </c>
      <c r="BX118" s="178">
        <f t="shared" si="222"/>
        <v>6.0208020895593017E-2</v>
      </c>
      <c r="BY118" s="5">
        <f t="shared" si="223"/>
        <v>0.57600000000000007</v>
      </c>
      <c r="BZ118" s="178">
        <f t="shared" si="224"/>
        <v>0.90536425364326911</v>
      </c>
      <c r="CA118" s="5">
        <f t="shared" si="225"/>
        <v>90.536425364326917</v>
      </c>
      <c r="CB118">
        <f t="shared" si="226"/>
        <v>8</v>
      </c>
      <c r="CD118" s="580">
        <f t="shared" si="227"/>
        <v>-50</v>
      </c>
      <c r="CE118">
        <f t="shared" si="228"/>
        <v>-50</v>
      </c>
    </row>
    <row r="119" spans="5:83" x14ac:dyDescent="0.2">
      <c r="E119" s="175">
        <v>9</v>
      </c>
      <c r="F119" s="222">
        <f t="shared" si="229"/>
        <v>3.5999999999999997E-2</v>
      </c>
      <c r="G119" s="222">
        <f t="shared" si="168"/>
        <v>1.7999999999999999E-2</v>
      </c>
      <c r="H119" s="222">
        <f t="shared" si="169"/>
        <v>0.43199999999999994</v>
      </c>
      <c r="I119" s="222">
        <f t="shared" si="170"/>
        <v>0.21599999999999997</v>
      </c>
      <c r="J119" s="558">
        <f t="shared" si="171"/>
        <v>21.6</v>
      </c>
      <c r="K119" s="453">
        <f t="shared" si="172"/>
        <v>24.5</v>
      </c>
      <c r="L119" s="453">
        <f t="shared" si="173"/>
        <v>46.1</v>
      </c>
      <c r="M119" s="453"/>
      <c r="N119" s="222">
        <f t="shared" si="174"/>
        <v>0.53145336225596529</v>
      </c>
      <c r="O119" s="177">
        <f t="shared" si="175"/>
        <v>5.2709544468546632</v>
      </c>
      <c r="P119" s="177">
        <f t="shared" si="176"/>
        <v>3.9532158351409978</v>
      </c>
      <c r="Q119" s="222">
        <f t="shared" si="177"/>
        <v>0.43924620390455527</v>
      </c>
      <c r="R119" s="222">
        <f t="shared" si="178"/>
        <v>0.43924620390455527</v>
      </c>
      <c r="S119" s="222">
        <f t="shared" si="179"/>
        <v>12</v>
      </c>
      <c r="T119" s="222">
        <f t="shared" si="180"/>
        <v>0.11883995703544574</v>
      </c>
      <c r="U119" s="222">
        <f t="shared" si="181"/>
        <v>0.46215538847117782</v>
      </c>
      <c r="V119" s="222">
        <f t="shared" si="182"/>
        <v>0.40745128126438535</v>
      </c>
      <c r="W119" s="202">
        <f t="shared" si="183"/>
        <v>350</v>
      </c>
      <c r="X119" s="453">
        <f t="shared" si="184"/>
        <v>350</v>
      </c>
      <c r="Z119" s="222">
        <f t="shared" si="185"/>
        <v>0.39045553145336231</v>
      </c>
      <c r="AA119" s="178">
        <f t="shared" si="186"/>
        <v>1.3387046792686708</v>
      </c>
      <c r="AB119" s="178">
        <f t="shared" si="187"/>
        <v>0.12196441763402208</v>
      </c>
      <c r="AC119" s="178"/>
      <c r="AD119" s="178">
        <f t="shared" si="188"/>
        <v>0.99428571428571422</v>
      </c>
      <c r="AE119" s="562">
        <f t="shared" si="189"/>
        <v>124.85136741973842</v>
      </c>
      <c r="AF119" s="545">
        <f t="shared" si="190"/>
        <v>0.10091999999999998</v>
      </c>
      <c r="AH119" s="178">
        <f t="shared" si="191"/>
        <v>0.20995626366712955</v>
      </c>
      <c r="AI119" s="178">
        <f t="shared" si="192"/>
        <v>0.28999999999999998</v>
      </c>
      <c r="AJ119" s="178">
        <f t="shared" si="193"/>
        <v>1.0713436385255648</v>
      </c>
      <c r="AL119" s="562">
        <f t="shared" si="194"/>
        <v>36</v>
      </c>
      <c r="AM119" s="471">
        <f t="shared" si="195"/>
        <v>124.85136741973842</v>
      </c>
      <c r="AO119" s="471">
        <f t="shared" si="196"/>
        <v>36</v>
      </c>
      <c r="AP119" s="471">
        <f t="shared" si="197"/>
        <v>124.85136741973842</v>
      </c>
      <c r="AR119" s="5">
        <f t="shared" si="146"/>
        <v>8.0095238095238077</v>
      </c>
      <c r="AS119" s="5">
        <f t="shared" si="230"/>
        <v>1.1277777777777775</v>
      </c>
      <c r="AT119" s="5">
        <f t="shared" si="231"/>
        <v>6.8817460317460304</v>
      </c>
      <c r="AU119" s="178">
        <f t="shared" si="232"/>
        <v>0.14080459770114942</v>
      </c>
      <c r="AW119" s="5">
        <f t="shared" si="201"/>
        <v>0.33833333333333321</v>
      </c>
      <c r="AX119" s="5">
        <f t="shared" si="202"/>
        <v>0.1691666666666666</v>
      </c>
      <c r="AY119" s="5">
        <f t="shared" si="203"/>
        <v>0.12073238652186014</v>
      </c>
      <c r="AZ119" s="5"/>
      <c r="BA119" s="178">
        <f t="shared" si="204"/>
        <v>6.2826922749902536E-2</v>
      </c>
      <c r="BB119" s="178">
        <f t="shared" si="205"/>
        <v>0.31039401483347651</v>
      </c>
      <c r="BC119" s="178">
        <f t="shared" si="206"/>
        <v>0.15519700741673825</v>
      </c>
      <c r="BD119" s="178"/>
      <c r="BE119" s="545">
        <f t="shared" si="207"/>
        <v>1.3815277777777773E-3</v>
      </c>
      <c r="BF119" s="545">
        <f t="shared" si="208"/>
        <v>1.2518534482758621E-2</v>
      </c>
      <c r="BG119" s="545">
        <f t="shared" si="209"/>
        <v>1.5606420927467301E-3</v>
      </c>
      <c r="BH119" s="545">
        <f t="shared" si="210"/>
        <v>1.3266768727705115E-2</v>
      </c>
      <c r="BI119">
        <f t="shared" si="211"/>
        <v>6.2640000000000005E-3</v>
      </c>
      <c r="BK119" s="471">
        <f t="shared" si="212"/>
        <v>34.991473080988236</v>
      </c>
      <c r="BL119" s="178">
        <f t="shared" si="213"/>
        <v>1.0799999999999999E-2</v>
      </c>
      <c r="BM119" s="178">
        <f t="shared" si="214"/>
        <v>5.3999999999999994E-3</v>
      </c>
      <c r="BN119" s="545"/>
      <c r="BP119" s="471">
        <f t="shared" si="215"/>
        <v>16.2</v>
      </c>
      <c r="BQ119" s="545">
        <f t="shared" si="216"/>
        <v>3.7498611111111098E-4</v>
      </c>
      <c r="BR119" s="545">
        <f t="shared" si="217"/>
        <v>8.6709999999999982E-3</v>
      </c>
      <c r="BS119" s="545">
        <f t="shared" si="218"/>
        <v>2.4086111111111109E-3</v>
      </c>
      <c r="BT119" s="545">
        <f t="shared" si="219"/>
        <v>3.9441030842169035E-4</v>
      </c>
      <c r="BU119" s="545"/>
      <c r="BV119" s="655">
        <f t="shared" si="220"/>
        <v>2.3625000000000005E-3</v>
      </c>
      <c r="BW119" s="471">
        <f t="shared" si="221"/>
        <v>14.21150753064391</v>
      </c>
      <c r="BX119" s="178">
        <f t="shared" si="222"/>
        <v>6.5402980611632147E-2</v>
      </c>
      <c r="BY119" s="5">
        <f t="shared" si="223"/>
        <v>0.64799999999999991</v>
      </c>
      <c r="BZ119" s="178">
        <f t="shared" si="224"/>
        <v>0.9083225296373737</v>
      </c>
      <c r="CA119" s="5">
        <f t="shared" si="225"/>
        <v>90.832252963737375</v>
      </c>
      <c r="CB119">
        <f t="shared" si="226"/>
        <v>8.9999999999999982</v>
      </c>
      <c r="CD119" s="580">
        <f t="shared" si="227"/>
        <v>-50</v>
      </c>
      <c r="CE119">
        <f t="shared" si="228"/>
        <v>-50</v>
      </c>
    </row>
    <row r="120" spans="5:83" x14ac:dyDescent="0.2">
      <c r="E120" s="175">
        <v>10</v>
      </c>
      <c r="F120" s="222">
        <f t="shared" si="229"/>
        <v>4.0000000000000008E-2</v>
      </c>
      <c r="G120" s="222">
        <f t="shared" si="168"/>
        <v>2.0000000000000004E-2</v>
      </c>
      <c r="H120" s="222">
        <f t="shared" si="169"/>
        <v>0.48000000000000009</v>
      </c>
      <c r="I120" s="222">
        <f t="shared" si="170"/>
        <v>0.24000000000000005</v>
      </c>
      <c r="J120" s="558">
        <f t="shared" si="171"/>
        <v>21.6</v>
      </c>
      <c r="K120" s="453">
        <f t="shared" si="172"/>
        <v>24.5</v>
      </c>
      <c r="L120" s="453">
        <f t="shared" si="173"/>
        <v>46.1</v>
      </c>
      <c r="M120" s="453"/>
      <c r="N120" s="222">
        <f t="shared" si="174"/>
        <v>0.53145336225596529</v>
      </c>
      <c r="O120" s="177">
        <f t="shared" si="175"/>
        <v>5.2709544468546632</v>
      </c>
      <c r="P120" s="177">
        <f t="shared" si="176"/>
        <v>3.9532158351409978</v>
      </c>
      <c r="Q120" s="222">
        <f t="shared" si="177"/>
        <v>0.43924620390455527</v>
      </c>
      <c r="R120" s="222">
        <f t="shared" si="178"/>
        <v>0.43924620390455527</v>
      </c>
      <c r="S120" s="222">
        <f t="shared" si="179"/>
        <v>12</v>
      </c>
      <c r="T120" s="222">
        <f t="shared" si="180"/>
        <v>0.13204439670605086</v>
      </c>
      <c r="U120" s="222">
        <f t="shared" si="181"/>
        <v>0.51350598719019769</v>
      </c>
      <c r="V120" s="222">
        <f t="shared" si="182"/>
        <v>0.45272364584931724</v>
      </c>
      <c r="W120" s="202">
        <f t="shared" si="183"/>
        <v>350</v>
      </c>
      <c r="X120" s="453">
        <f t="shared" si="184"/>
        <v>350</v>
      </c>
      <c r="Z120" s="222">
        <f t="shared" si="185"/>
        <v>0.39045553145336231</v>
      </c>
      <c r="AA120" s="178">
        <f t="shared" si="186"/>
        <v>1.3387046792686708</v>
      </c>
      <c r="AB120" s="178">
        <f t="shared" si="187"/>
        <v>0.12196441763402208</v>
      </c>
      <c r="AC120" s="178"/>
      <c r="AD120" s="178">
        <f t="shared" si="188"/>
        <v>0.99428571428571422</v>
      </c>
      <c r="AE120" s="562">
        <f t="shared" si="189"/>
        <v>138.72374157748717</v>
      </c>
      <c r="AF120" s="545">
        <f t="shared" si="190"/>
        <v>0.10091999999999998</v>
      </c>
      <c r="AH120" s="178">
        <f t="shared" si="191"/>
        <v>0.22131333406899528</v>
      </c>
      <c r="AI120" s="178">
        <f t="shared" si="192"/>
        <v>0.28999999999999998</v>
      </c>
      <c r="AJ120" s="178">
        <f t="shared" si="193"/>
        <v>1.0792707094728498</v>
      </c>
      <c r="AL120" s="562">
        <f t="shared" si="194"/>
        <v>40.000000000000007</v>
      </c>
      <c r="AM120" s="471">
        <f t="shared" si="195"/>
        <v>138.72374157748717</v>
      </c>
      <c r="AO120" s="471">
        <f t="shared" si="196"/>
        <v>40.000000000000007</v>
      </c>
      <c r="AP120" s="471">
        <f t="shared" si="197"/>
        <v>138.72374157748717</v>
      </c>
      <c r="AR120" s="5">
        <f t="shared" si="146"/>
        <v>7.2085714285714255</v>
      </c>
      <c r="AS120" s="5">
        <f t="shared" si="230"/>
        <v>1.1277777777777775</v>
      </c>
      <c r="AT120" s="5">
        <f t="shared" si="231"/>
        <v>6.0807936507936482</v>
      </c>
      <c r="AU120" s="178">
        <f t="shared" si="232"/>
        <v>0.15644955300127716</v>
      </c>
      <c r="AW120" s="5">
        <f t="shared" si="201"/>
        <v>0.37592592592592594</v>
      </c>
      <c r="AX120" s="5">
        <f t="shared" si="202"/>
        <v>0.18796296296296297</v>
      </c>
      <c r="AY120" s="5">
        <f t="shared" si="203"/>
        <v>0.11853398929422317</v>
      </c>
      <c r="AZ120" s="5"/>
      <c r="BA120" s="178">
        <f t="shared" si="204"/>
        <v>6.6225391423047106E-2</v>
      </c>
      <c r="BB120" s="178">
        <f t="shared" si="205"/>
        <v>0.30755507385960995</v>
      </c>
      <c r="BC120" s="178">
        <f t="shared" si="206"/>
        <v>0.15377753692980498</v>
      </c>
      <c r="BD120" s="178"/>
      <c r="BE120" s="545">
        <f t="shared" si="207"/>
        <v>1.5350308641975301E-3</v>
      </c>
      <c r="BF120" s="545">
        <f t="shared" si="208"/>
        <v>1.3909482758620693E-2</v>
      </c>
      <c r="BG120" s="545">
        <f t="shared" si="209"/>
        <v>1.7340467697185896E-3</v>
      </c>
      <c r="BH120" s="545">
        <f t="shared" si="210"/>
        <v>1.4740854141894575E-2</v>
      </c>
      <c r="BI120">
        <f t="shared" si="211"/>
        <v>6.2640000000000005E-3</v>
      </c>
      <c r="BK120" s="471">
        <f t="shared" si="212"/>
        <v>38.183414534431385</v>
      </c>
      <c r="BL120" s="178">
        <f t="shared" si="213"/>
        <v>1.2000000000000002E-2</v>
      </c>
      <c r="BM120" s="178">
        <f t="shared" si="214"/>
        <v>6.000000000000001E-3</v>
      </c>
      <c r="BN120" s="545"/>
      <c r="BP120" s="471">
        <f t="shared" si="215"/>
        <v>18.000000000000004</v>
      </c>
      <c r="BQ120" s="545">
        <f t="shared" si="216"/>
        <v>4.1665123456790111E-4</v>
      </c>
      <c r="BR120" s="545">
        <f t="shared" si="217"/>
        <v>8.5131111111111119E-3</v>
      </c>
      <c r="BS120" s="545">
        <f t="shared" si="218"/>
        <v>2.3647530864197536E-3</v>
      </c>
      <c r="BT120" s="545">
        <f t="shared" si="219"/>
        <v>5.1326539393499264E-4</v>
      </c>
      <c r="BU120" s="545"/>
      <c r="BV120" s="655">
        <f t="shared" si="220"/>
        <v>2.625000000000001E-3</v>
      </c>
      <c r="BW120" s="471">
        <f t="shared" si="221"/>
        <v>14.43278082603376</v>
      </c>
      <c r="BX120" s="178">
        <f t="shared" si="222"/>
        <v>7.0616195360465164E-2</v>
      </c>
      <c r="BY120" s="5">
        <f t="shared" si="223"/>
        <v>0.7200000000000002</v>
      </c>
      <c r="BZ120" s="178">
        <f t="shared" si="224"/>
        <v>0.9106820783904267</v>
      </c>
      <c r="CA120" s="5">
        <f t="shared" si="225"/>
        <v>91.068207839042671</v>
      </c>
      <c r="CB120">
        <f t="shared" si="226"/>
        <v>10.000000000000002</v>
      </c>
      <c r="CD120" s="580">
        <f t="shared" si="227"/>
        <v>-50</v>
      </c>
      <c r="CE120">
        <f t="shared" si="228"/>
        <v>-50</v>
      </c>
    </row>
    <row r="121" spans="5:83" x14ac:dyDescent="0.2">
      <c r="E121" s="175">
        <v>11</v>
      </c>
      <c r="F121" s="222">
        <f t="shared" si="229"/>
        <v>4.4000000000000004E-2</v>
      </c>
      <c r="G121" s="222">
        <f t="shared" si="168"/>
        <v>2.2000000000000002E-2</v>
      </c>
      <c r="H121" s="222">
        <f t="shared" si="169"/>
        <v>0.52800000000000002</v>
      </c>
      <c r="I121" s="222">
        <f t="shared" si="170"/>
        <v>0.26400000000000001</v>
      </c>
      <c r="J121" s="558">
        <f t="shared" si="171"/>
        <v>21.6</v>
      </c>
      <c r="K121" s="453">
        <f t="shared" si="172"/>
        <v>24.5</v>
      </c>
      <c r="L121" s="453">
        <f t="shared" si="173"/>
        <v>46.1</v>
      </c>
      <c r="M121" s="453"/>
      <c r="N121" s="222">
        <f t="shared" si="174"/>
        <v>0.53145336225596529</v>
      </c>
      <c r="O121" s="177">
        <f t="shared" si="175"/>
        <v>5.2709544468546632</v>
      </c>
      <c r="P121" s="177">
        <f t="shared" si="176"/>
        <v>3.9532158351409978</v>
      </c>
      <c r="Q121" s="222">
        <f t="shared" si="177"/>
        <v>0.43924620390455527</v>
      </c>
      <c r="R121" s="222">
        <f t="shared" si="178"/>
        <v>0.43924620390455527</v>
      </c>
      <c r="S121" s="222">
        <f t="shared" si="179"/>
        <v>12</v>
      </c>
      <c r="T121" s="222">
        <f t="shared" si="180"/>
        <v>0.14524883637665592</v>
      </c>
      <c r="U121" s="222">
        <f t="shared" si="181"/>
        <v>0.56485658590921739</v>
      </c>
      <c r="V121" s="222">
        <f t="shared" si="182"/>
        <v>0.49799601043424885</v>
      </c>
      <c r="W121" s="202">
        <f t="shared" si="183"/>
        <v>350</v>
      </c>
      <c r="X121" s="453">
        <f t="shared" si="184"/>
        <v>350</v>
      </c>
      <c r="Z121" s="222">
        <f t="shared" si="185"/>
        <v>0.39045553145336231</v>
      </c>
      <c r="AA121" s="178">
        <f t="shared" si="186"/>
        <v>1.3387046792686708</v>
      </c>
      <c r="AB121" s="178">
        <f t="shared" si="187"/>
        <v>0.12196441763402208</v>
      </c>
      <c r="AC121" s="178"/>
      <c r="AD121" s="178">
        <f t="shared" si="188"/>
        <v>0.99428571428571422</v>
      </c>
      <c r="AE121" s="562">
        <f t="shared" si="189"/>
        <v>152.59611573523588</v>
      </c>
      <c r="AF121" s="545">
        <f t="shared" si="190"/>
        <v>0.10091999999999998</v>
      </c>
      <c r="AH121" s="178">
        <f t="shared" si="191"/>
        <v>0.23211538298959888</v>
      </c>
      <c r="AI121" s="178">
        <f t="shared" si="192"/>
        <v>0.28999999999999998</v>
      </c>
      <c r="AJ121" s="178">
        <f t="shared" si="193"/>
        <v>1.0871977804201347</v>
      </c>
      <c r="AL121" s="562">
        <f t="shared" si="194"/>
        <v>44.000000000000007</v>
      </c>
      <c r="AM121" s="471">
        <f t="shared" si="195"/>
        <v>152.59611573523588</v>
      </c>
      <c r="AO121" s="471">
        <f t="shared" si="196"/>
        <v>44.000000000000007</v>
      </c>
      <c r="AP121" s="471">
        <f t="shared" si="197"/>
        <v>152.59611573523588</v>
      </c>
      <c r="AR121" s="5">
        <f t="shared" si="146"/>
        <v>6.5532467532467509</v>
      </c>
      <c r="AS121" s="5">
        <f t="shared" si="230"/>
        <v>1.1277777777777775</v>
      </c>
      <c r="AT121" s="5">
        <f t="shared" si="231"/>
        <v>5.4254689754689736</v>
      </c>
      <c r="AU121" s="178">
        <f t="shared" si="232"/>
        <v>0.17209450830140488</v>
      </c>
      <c r="AW121" s="5">
        <f t="shared" si="201"/>
        <v>0.41351851851851851</v>
      </c>
      <c r="AX121" s="5">
        <f t="shared" si="202"/>
        <v>0.20675925925925925</v>
      </c>
      <c r="AY121" s="5">
        <f t="shared" si="203"/>
        <v>0.11633559206658615</v>
      </c>
      <c r="AZ121" s="5"/>
      <c r="BA121" s="178">
        <f t="shared" si="204"/>
        <v>6.9457776498023482E-2</v>
      </c>
      <c r="BB121" s="178">
        <f t="shared" si="205"/>
        <v>0.30468968224922843</v>
      </c>
      <c r="BC121" s="178">
        <f t="shared" si="206"/>
        <v>0.15234484112461422</v>
      </c>
      <c r="BD121" s="178"/>
      <c r="BE121" s="545">
        <f t="shared" si="207"/>
        <v>1.688533950617284E-3</v>
      </c>
      <c r="BF121" s="545">
        <f t="shared" si="208"/>
        <v>1.5300431034482764E-2</v>
      </c>
      <c r="BG121" s="545">
        <f t="shared" si="209"/>
        <v>1.9074514466904486E-3</v>
      </c>
      <c r="BH121" s="545">
        <f t="shared" si="210"/>
        <v>1.6214939556084031E-2</v>
      </c>
      <c r="BI121">
        <f t="shared" si="211"/>
        <v>6.2640000000000005E-3</v>
      </c>
      <c r="BK121" s="471">
        <f t="shared" si="212"/>
        <v>41.375355987874528</v>
      </c>
      <c r="BL121" s="178">
        <f t="shared" si="213"/>
        <v>1.3200000000000002E-2</v>
      </c>
      <c r="BM121" s="178">
        <f t="shared" si="214"/>
        <v>6.6000000000000008E-3</v>
      </c>
      <c r="BN121" s="545"/>
      <c r="BP121" s="471">
        <f t="shared" si="215"/>
        <v>19.8</v>
      </c>
      <c r="BQ121" s="545">
        <f t="shared" si="216"/>
        <v>4.5831635802469144E-4</v>
      </c>
      <c r="BR121" s="545">
        <f t="shared" si="217"/>
        <v>8.3552222222222205E-3</v>
      </c>
      <c r="BS121" s="545">
        <f t="shared" si="218"/>
        <v>2.3208950617283949E-3</v>
      </c>
      <c r="BT121" s="545">
        <f t="shared" si="219"/>
        <v>6.5136391680845626E-4</v>
      </c>
      <c r="BU121" s="545"/>
      <c r="BV121" s="655">
        <f t="shared" si="220"/>
        <v>2.8875000000000012E-3</v>
      </c>
      <c r="BW121" s="471">
        <f t="shared" si="221"/>
        <v>14.673297558783764</v>
      </c>
      <c r="BX121" s="178">
        <f t="shared" si="222"/>
        <v>7.584865354665829E-2</v>
      </c>
      <c r="BY121" s="5">
        <f t="shared" si="223"/>
        <v>0.79200000000000004</v>
      </c>
      <c r="BZ121" s="178">
        <f t="shared" si="224"/>
        <v>0.91260151958906</v>
      </c>
      <c r="CA121" s="5">
        <f t="shared" si="225"/>
        <v>91.260151958905993</v>
      </c>
      <c r="CB121">
        <f t="shared" si="226"/>
        <v>11</v>
      </c>
      <c r="CD121" s="580">
        <f t="shared" si="227"/>
        <v>-50</v>
      </c>
      <c r="CE121">
        <f t="shared" si="228"/>
        <v>-50</v>
      </c>
    </row>
    <row r="122" spans="5:83" x14ac:dyDescent="0.2">
      <c r="E122" s="175">
        <v>12</v>
      </c>
      <c r="F122" s="222">
        <f t="shared" si="229"/>
        <v>4.8000000000000001E-2</v>
      </c>
      <c r="G122" s="222">
        <f t="shared" si="168"/>
        <v>2.4E-2</v>
      </c>
      <c r="H122" s="222">
        <f t="shared" si="169"/>
        <v>0.57600000000000007</v>
      </c>
      <c r="I122" s="222">
        <f t="shared" si="170"/>
        <v>0.28800000000000003</v>
      </c>
      <c r="J122" s="558">
        <f t="shared" si="171"/>
        <v>21.6</v>
      </c>
      <c r="K122" s="453">
        <f t="shared" si="172"/>
        <v>24.5</v>
      </c>
      <c r="L122" s="453">
        <f t="shared" si="173"/>
        <v>46.1</v>
      </c>
      <c r="M122" s="453"/>
      <c r="N122" s="222">
        <f t="shared" si="174"/>
        <v>0.53145336225596529</v>
      </c>
      <c r="O122" s="177">
        <f t="shared" si="175"/>
        <v>5.2709544468546632</v>
      </c>
      <c r="P122" s="177">
        <f t="shared" si="176"/>
        <v>3.9532158351409978</v>
      </c>
      <c r="Q122" s="222">
        <f t="shared" si="177"/>
        <v>0.43924620390455527</v>
      </c>
      <c r="R122" s="222">
        <f t="shared" si="178"/>
        <v>0.43924620390455527</v>
      </c>
      <c r="S122" s="222">
        <f t="shared" si="179"/>
        <v>12</v>
      </c>
      <c r="T122" s="222">
        <f t="shared" si="180"/>
        <v>0.15845327604726103</v>
      </c>
      <c r="U122" s="222">
        <f t="shared" si="181"/>
        <v>0.61620718462823731</v>
      </c>
      <c r="V122" s="222">
        <f t="shared" si="182"/>
        <v>0.54326837501918068</v>
      </c>
      <c r="W122" s="202">
        <f t="shared" si="183"/>
        <v>350</v>
      </c>
      <c r="X122" s="453">
        <f t="shared" si="184"/>
        <v>350</v>
      </c>
      <c r="Z122" s="222">
        <f t="shared" si="185"/>
        <v>0.39045553145336231</v>
      </c>
      <c r="AA122" s="178">
        <f t="shared" si="186"/>
        <v>1.3387046792686708</v>
      </c>
      <c r="AB122" s="178">
        <f t="shared" si="187"/>
        <v>0.12196441763402208</v>
      </c>
      <c r="AC122" s="178"/>
      <c r="AD122" s="178">
        <f t="shared" si="188"/>
        <v>0.99428571428571422</v>
      </c>
      <c r="AE122" s="562">
        <f t="shared" si="189"/>
        <v>166.46848989298459</v>
      </c>
      <c r="AF122" s="545">
        <f t="shared" si="190"/>
        <v>0.10091999999999998</v>
      </c>
      <c r="AH122" s="178">
        <f t="shared" si="191"/>
        <v>0.24243661069253061</v>
      </c>
      <c r="AI122" s="178">
        <f t="shared" si="192"/>
        <v>0.28999999999999998</v>
      </c>
      <c r="AJ122" s="178">
        <f t="shared" si="193"/>
        <v>1.0951248513674197</v>
      </c>
      <c r="AL122" s="562">
        <f t="shared" si="194"/>
        <v>48</v>
      </c>
      <c r="AM122" s="471">
        <f t="shared" si="195"/>
        <v>166.46848989298459</v>
      </c>
      <c r="AO122" s="471">
        <f t="shared" si="196"/>
        <v>48</v>
      </c>
      <c r="AP122" s="471">
        <f t="shared" si="197"/>
        <v>166.46848989298459</v>
      </c>
      <c r="AR122" s="5">
        <f t="shared" si="146"/>
        <v>6.0071428571428553</v>
      </c>
      <c r="AS122" s="5">
        <f t="shared" si="230"/>
        <v>1.1277777777777775</v>
      </c>
      <c r="AT122" s="5">
        <f t="shared" si="231"/>
        <v>4.879365079365078</v>
      </c>
      <c r="AU122" s="178">
        <f t="shared" si="232"/>
        <v>0.1877394636015326</v>
      </c>
      <c r="AW122" s="5">
        <f t="shared" si="201"/>
        <v>0.45111111111111107</v>
      </c>
      <c r="AX122" s="5">
        <f t="shared" si="202"/>
        <v>0.22555555555555554</v>
      </c>
      <c r="AY122" s="5">
        <f t="shared" si="203"/>
        <v>0.11413719483894919</v>
      </c>
      <c r="AZ122" s="5"/>
      <c r="BA122" s="178">
        <f t="shared" si="204"/>
        <v>7.254628152402412E-2</v>
      </c>
      <c r="BB122" s="178">
        <f t="shared" si="205"/>
        <v>0.30179708660204368</v>
      </c>
      <c r="BC122" s="178">
        <f t="shared" si="206"/>
        <v>0.15089854330102184</v>
      </c>
      <c r="BD122" s="178"/>
      <c r="BE122" s="545">
        <f t="shared" si="207"/>
        <v>1.842037037037037E-3</v>
      </c>
      <c r="BF122" s="545">
        <f t="shared" si="208"/>
        <v>1.6691379310344832E-2</v>
      </c>
      <c r="BG122" s="545">
        <f t="shared" si="209"/>
        <v>2.0808561236623072E-3</v>
      </c>
      <c r="BH122" s="545">
        <f t="shared" si="210"/>
        <v>1.7689024970273488E-2</v>
      </c>
      <c r="BI122">
        <f t="shared" si="211"/>
        <v>6.2640000000000005E-3</v>
      </c>
      <c r="BK122" s="471">
        <f t="shared" si="212"/>
        <v>44.567297441317663</v>
      </c>
      <c r="BL122" s="178">
        <f t="shared" si="213"/>
        <v>1.44E-2</v>
      </c>
      <c r="BM122" s="178">
        <f t="shared" si="214"/>
        <v>7.1999999999999998E-3</v>
      </c>
      <c r="BN122" s="545"/>
      <c r="BP122" s="471">
        <f t="shared" si="215"/>
        <v>21.6</v>
      </c>
      <c r="BQ122" s="545">
        <f t="shared" si="216"/>
        <v>4.9998148148148146E-4</v>
      </c>
      <c r="BR122" s="545">
        <f t="shared" si="217"/>
        <v>8.1973333333333308E-3</v>
      </c>
      <c r="BS122" s="545">
        <f t="shared" si="218"/>
        <v>2.2770370370370366E-3</v>
      </c>
      <c r="BT122" s="545">
        <f t="shared" si="219"/>
        <v>8.0964585862551488E-4</v>
      </c>
      <c r="BU122" s="545"/>
      <c r="BV122" s="655">
        <f t="shared" si="220"/>
        <v>3.1500000000000009E-3</v>
      </c>
      <c r="BW122" s="471">
        <f t="shared" si="221"/>
        <v>14.933997710477366</v>
      </c>
      <c r="BX122" s="178">
        <f t="shared" si="222"/>
        <v>8.1101295151795025E-2</v>
      </c>
      <c r="BY122" s="5">
        <f t="shared" si="223"/>
        <v>0.8640000000000001</v>
      </c>
      <c r="BZ122" s="178">
        <f t="shared" si="224"/>
        <v>0.91418772192162845</v>
      </c>
      <c r="CA122" s="5">
        <f t="shared" si="225"/>
        <v>91.418772192162848</v>
      </c>
      <c r="CB122">
        <f t="shared" si="226"/>
        <v>12</v>
      </c>
      <c r="CD122" s="580">
        <f t="shared" si="227"/>
        <v>-50</v>
      </c>
      <c r="CE122">
        <f t="shared" si="228"/>
        <v>-50</v>
      </c>
    </row>
    <row r="123" spans="5:83" x14ac:dyDescent="0.2">
      <c r="E123" s="175">
        <v>13</v>
      </c>
      <c r="F123" s="222">
        <f t="shared" si="229"/>
        <v>5.2000000000000005E-2</v>
      </c>
      <c r="G123" s="222">
        <f t="shared" si="168"/>
        <v>2.6000000000000002E-2</v>
      </c>
      <c r="H123" s="222">
        <f t="shared" si="169"/>
        <v>0.62400000000000011</v>
      </c>
      <c r="I123" s="222">
        <f t="shared" si="170"/>
        <v>0.31200000000000006</v>
      </c>
      <c r="J123" s="558">
        <f t="shared" si="171"/>
        <v>21.6</v>
      </c>
      <c r="K123" s="453">
        <f t="shared" si="172"/>
        <v>24.5</v>
      </c>
      <c r="L123" s="453">
        <f t="shared" si="173"/>
        <v>46.1</v>
      </c>
      <c r="M123" s="453"/>
      <c r="N123" s="222">
        <f t="shared" si="174"/>
        <v>0.53145336225596529</v>
      </c>
      <c r="O123" s="177">
        <f t="shared" si="175"/>
        <v>5.2709544468546632</v>
      </c>
      <c r="P123" s="177">
        <f t="shared" si="176"/>
        <v>3.9532158351409978</v>
      </c>
      <c r="Q123" s="222">
        <f t="shared" si="177"/>
        <v>0.43924620390455527</v>
      </c>
      <c r="R123" s="222">
        <f t="shared" si="178"/>
        <v>0.43924620390455527</v>
      </c>
      <c r="S123" s="222">
        <f t="shared" si="179"/>
        <v>12</v>
      </c>
      <c r="T123" s="222">
        <f t="shared" si="180"/>
        <v>0.17165771571786612</v>
      </c>
      <c r="U123" s="222">
        <f t="shared" si="181"/>
        <v>0.66755778334725713</v>
      </c>
      <c r="V123" s="222">
        <f t="shared" si="182"/>
        <v>0.58854073960411235</v>
      </c>
      <c r="W123" s="202">
        <f t="shared" si="183"/>
        <v>350</v>
      </c>
      <c r="X123" s="453">
        <f t="shared" si="184"/>
        <v>350</v>
      </c>
      <c r="Z123" s="222">
        <f t="shared" si="185"/>
        <v>0.39045553145336231</v>
      </c>
      <c r="AA123" s="178">
        <f t="shared" si="186"/>
        <v>1.3387046792686708</v>
      </c>
      <c r="AB123" s="178">
        <f t="shared" si="187"/>
        <v>0.12196441763402208</v>
      </c>
      <c r="AC123" s="178"/>
      <c r="AD123" s="178">
        <f t="shared" si="188"/>
        <v>0.99428571428571422</v>
      </c>
      <c r="AE123" s="562">
        <f t="shared" si="189"/>
        <v>180.3408640507333</v>
      </c>
      <c r="AF123" s="545">
        <f t="shared" si="190"/>
        <v>0.10091999999999998</v>
      </c>
      <c r="AH123" s="178">
        <f t="shared" si="191"/>
        <v>0.25233602475222422</v>
      </c>
      <c r="AI123" s="178">
        <f t="shared" si="192"/>
        <v>0.28999999999999998</v>
      </c>
      <c r="AJ123" s="178">
        <f t="shared" si="193"/>
        <v>1.1030519223147048</v>
      </c>
      <c r="AL123" s="562">
        <f t="shared" si="194"/>
        <v>52.000000000000007</v>
      </c>
      <c r="AM123" s="471">
        <f t="shared" si="195"/>
        <v>180.3408640507333</v>
      </c>
      <c r="AO123" s="471">
        <f t="shared" si="196"/>
        <v>52.000000000000007</v>
      </c>
      <c r="AP123" s="471">
        <f t="shared" si="197"/>
        <v>180.3408640507333</v>
      </c>
      <c r="AR123" s="5">
        <f t="shared" si="146"/>
        <v>5.545054945054944</v>
      </c>
      <c r="AS123" s="5">
        <f t="shared" si="230"/>
        <v>1.1277777777777775</v>
      </c>
      <c r="AT123" s="5">
        <f t="shared" si="231"/>
        <v>4.4172771672771667</v>
      </c>
      <c r="AU123" s="178">
        <f t="shared" si="232"/>
        <v>0.20338441890166029</v>
      </c>
      <c r="AW123" s="5">
        <f t="shared" si="201"/>
        <v>0.48870370370370364</v>
      </c>
      <c r="AX123" s="5">
        <f t="shared" si="202"/>
        <v>0.24435185185185182</v>
      </c>
      <c r="AY123" s="5">
        <f t="shared" si="203"/>
        <v>0.1119387976113122</v>
      </c>
      <c r="AZ123" s="5"/>
      <c r="BA123" s="178">
        <f t="shared" si="204"/>
        <v>7.5508563818129551E-2</v>
      </c>
      <c r="BB123" s="178">
        <f t="shared" si="205"/>
        <v>0.29887649705827846</v>
      </c>
      <c r="BC123" s="178">
        <f t="shared" si="206"/>
        <v>0.14943824852913923</v>
      </c>
      <c r="BD123" s="178"/>
      <c r="BE123" s="545">
        <f t="shared" si="207"/>
        <v>1.99554012345679E-3</v>
      </c>
      <c r="BF123" s="545">
        <f t="shared" si="208"/>
        <v>1.8082327586206898E-2</v>
      </c>
      <c r="BG123" s="545">
        <f t="shared" si="209"/>
        <v>2.2542608006341663E-3</v>
      </c>
      <c r="BH123" s="545">
        <f t="shared" si="210"/>
        <v>1.9163110384462945E-2</v>
      </c>
      <c r="BI123">
        <f t="shared" si="211"/>
        <v>6.2640000000000005E-3</v>
      </c>
      <c r="BK123" s="471">
        <f t="shared" si="212"/>
        <v>47.759238894760799</v>
      </c>
      <c r="BL123" s="178">
        <f t="shared" si="213"/>
        <v>1.5600000000000001E-2</v>
      </c>
      <c r="BM123" s="178">
        <f t="shared" si="214"/>
        <v>7.8000000000000005E-3</v>
      </c>
      <c r="BN123" s="545"/>
      <c r="BP123" s="471">
        <f t="shared" si="215"/>
        <v>23.400000000000002</v>
      </c>
      <c r="BQ123" s="545">
        <f t="shared" si="216"/>
        <v>5.4164660493827158E-4</v>
      </c>
      <c r="BR123" s="545">
        <f t="shared" si="217"/>
        <v>8.0394444444444411E-3</v>
      </c>
      <c r="BS123" s="545">
        <f t="shared" si="218"/>
        <v>2.2331790123456784E-3</v>
      </c>
      <c r="BT123" s="545">
        <f t="shared" si="219"/>
        <v>9.8900927493427446E-4</v>
      </c>
      <c r="BU123" s="545"/>
      <c r="BV123" s="655">
        <f t="shared" si="220"/>
        <v>3.4125000000000006E-3</v>
      </c>
      <c r="BW123" s="471">
        <f t="shared" si="221"/>
        <v>15.215779336662665</v>
      </c>
      <c r="BX123" s="178">
        <f t="shared" si="222"/>
        <v>8.6375018231423462E-2</v>
      </c>
      <c r="BY123" s="5">
        <f t="shared" si="223"/>
        <v>0.93600000000000017</v>
      </c>
      <c r="BZ123" s="178">
        <f t="shared" si="224"/>
        <v>0.91551532784824774</v>
      </c>
      <c r="CA123" s="5">
        <f t="shared" si="225"/>
        <v>91.551532784824772</v>
      </c>
      <c r="CB123">
        <f t="shared" si="226"/>
        <v>13</v>
      </c>
      <c r="CD123" s="580">
        <f t="shared" si="227"/>
        <v>-50</v>
      </c>
      <c r="CE123">
        <f t="shared" si="228"/>
        <v>-50</v>
      </c>
    </row>
    <row r="124" spans="5:83" x14ac:dyDescent="0.2">
      <c r="E124" s="175">
        <v>14</v>
      </c>
      <c r="F124" s="222">
        <f t="shared" si="229"/>
        <v>5.6000000000000008E-2</v>
      </c>
      <c r="G124" s="222">
        <f t="shared" si="168"/>
        <v>2.8000000000000004E-2</v>
      </c>
      <c r="H124" s="222">
        <f t="shared" si="169"/>
        <v>0.67200000000000015</v>
      </c>
      <c r="I124" s="222">
        <f t="shared" si="170"/>
        <v>0.33600000000000008</v>
      </c>
      <c r="J124" s="558">
        <f t="shared" si="171"/>
        <v>21.6</v>
      </c>
      <c r="K124" s="453">
        <f t="shared" si="172"/>
        <v>24.5</v>
      </c>
      <c r="L124" s="453">
        <f t="shared" si="173"/>
        <v>46.1</v>
      </c>
      <c r="M124" s="453"/>
      <c r="N124" s="222">
        <f t="shared" si="174"/>
        <v>0.53145336225596529</v>
      </c>
      <c r="O124" s="177">
        <f t="shared" si="175"/>
        <v>5.2709544468546632</v>
      </c>
      <c r="P124" s="177">
        <f t="shared" si="176"/>
        <v>3.9532158351409978</v>
      </c>
      <c r="Q124" s="222">
        <f t="shared" si="177"/>
        <v>0.43924620390455527</v>
      </c>
      <c r="R124" s="222">
        <f t="shared" si="178"/>
        <v>0.43924620390455527</v>
      </c>
      <c r="S124" s="222">
        <f t="shared" si="179"/>
        <v>12</v>
      </c>
      <c r="T124" s="222">
        <f t="shared" si="180"/>
        <v>0.18486215538847123</v>
      </c>
      <c r="U124" s="222">
        <f t="shared" si="181"/>
        <v>0.71890838206627683</v>
      </c>
      <c r="V124" s="222">
        <f t="shared" si="182"/>
        <v>0.63381310418904402</v>
      </c>
      <c r="W124" s="202">
        <f t="shared" si="183"/>
        <v>350</v>
      </c>
      <c r="X124" s="453">
        <f t="shared" si="184"/>
        <v>350</v>
      </c>
      <c r="Z124" s="222">
        <f t="shared" si="185"/>
        <v>0.39045553145336231</v>
      </c>
      <c r="AA124" s="178">
        <f t="shared" si="186"/>
        <v>1.3387046792686708</v>
      </c>
      <c r="AB124" s="178">
        <f t="shared" si="187"/>
        <v>0.12196441763402208</v>
      </c>
      <c r="AC124" s="178"/>
      <c r="AD124" s="178">
        <f t="shared" si="188"/>
        <v>0.99428571428571422</v>
      </c>
      <c r="AE124" s="562">
        <f t="shared" si="189"/>
        <v>194.21323820848204</v>
      </c>
      <c r="AF124" s="545">
        <f t="shared" si="190"/>
        <v>0.10091999999999998</v>
      </c>
      <c r="AH124" s="178">
        <f t="shared" si="191"/>
        <v>0.2618614682831909</v>
      </c>
      <c r="AI124" s="178">
        <f t="shared" si="192"/>
        <v>0.28999999999999998</v>
      </c>
      <c r="AJ124" s="178">
        <f t="shared" si="193"/>
        <v>1.1109789932619898</v>
      </c>
      <c r="AL124" s="562">
        <f t="shared" si="194"/>
        <v>56.000000000000007</v>
      </c>
      <c r="AM124" s="471">
        <f t="shared" si="195"/>
        <v>194.21323820848204</v>
      </c>
      <c r="AO124" s="471">
        <f t="shared" si="196"/>
        <v>56.000000000000007</v>
      </c>
      <c r="AP124" s="471">
        <f t="shared" si="197"/>
        <v>194.21323820848204</v>
      </c>
      <c r="AR124" s="5">
        <f t="shared" si="146"/>
        <v>5.1489795918367331</v>
      </c>
      <c r="AS124" s="5">
        <f t="shared" si="230"/>
        <v>1.1277777777777775</v>
      </c>
      <c r="AT124" s="5">
        <f t="shared" si="231"/>
        <v>4.0212018140589558</v>
      </c>
      <c r="AU124" s="178">
        <f t="shared" si="232"/>
        <v>0.219029374201788</v>
      </c>
      <c r="AW124" s="5">
        <f t="shared" si="201"/>
        <v>0.52629629629629615</v>
      </c>
      <c r="AX124" s="5">
        <f t="shared" si="202"/>
        <v>0.26314814814814808</v>
      </c>
      <c r="AY124" s="5">
        <f t="shared" si="203"/>
        <v>0.10974040038367522</v>
      </c>
      <c r="AZ124" s="5"/>
      <c r="BA124" s="178">
        <f t="shared" si="204"/>
        <v>7.8358939865149552E-2</v>
      </c>
      <c r="BB124" s="178">
        <f t="shared" si="205"/>
        <v>0.29592708477963425</v>
      </c>
      <c r="BC124" s="178">
        <f t="shared" si="206"/>
        <v>0.14796354238981713</v>
      </c>
      <c r="BD124" s="178"/>
      <c r="BE124" s="545">
        <f t="shared" si="207"/>
        <v>2.149043209876543E-3</v>
      </c>
      <c r="BF124" s="545">
        <f t="shared" si="208"/>
        <v>1.947327586206897E-2</v>
      </c>
      <c r="BG124" s="545">
        <f t="shared" si="209"/>
        <v>2.4276654776060253E-3</v>
      </c>
      <c r="BH124" s="545">
        <f t="shared" si="210"/>
        <v>2.0637195798652405E-2</v>
      </c>
      <c r="BI124">
        <f t="shared" si="211"/>
        <v>6.2640000000000005E-3</v>
      </c>
      <c r="BK124" s="471">
        <f t="shared" si="212"/>
        <v>50.951180348203941</v>
      </c>
      <c r="BL124" s="178">
        <f t="shared" si="213"/>
        <v>1.6800000000000002E-2</v>
      </c>
      <c r="BM124" s="178">
        <f t="shared" si="214"/>
        <v>8.4000000000000012E-3</v>
      </c>
      <c r="BN124" s="545"/>
      <c r="BP124" s="471">
        <f t="shared" si="215"/>
        <v>25.200000000000003</v>
      </c>
      <c r="BQ124" s="545">
        <f t="shared" si="216"/>
        <v>5.8331172839506181E-4</v>
      </c>
      <c r="BR124" s="545">
        <f t="shared" si="217"/>
        <v>7.8815555555555548E-3</v>
      </c>
      <c r="BS124" s="545">
        <f t="shared" si="218"/>
        <v>2.189320987654321E-3</v>
      </c>
      <c r="BT124" s="545">
        <f t="shared" si="219"/>
        <v>1.1903154560060022E-3</v>
      </c>
      <c r="BU124" s="545"/>
      <c r="BV124" s="655">
        <f t="shared" si="220"/>
        <v>3.6750000000000012E-3</v>
      </c>
      <c r="BW124" s="471">
        <f t="shared" si="221"/>
        <v>15.519503727610942</v>
      </c>
      <c r="BX124" s="178">
        <f t="shared" si="222"/>
        <v>9.1670684075814898E-2</v>
      </c>
      <c r="BY124" s="5">
        <f t="shared" si="223"/>
        <v>1.0080000000000002</v>
      </c>
      <c r="BZ124" s="178">
        <f t="shared" si="224"/>
        <v>0.91663805773556961</v>
      </c>
      <c r="CA124" s="5">
        <f t="shared" si="225"/>
        <v>91.663805773556959</v>
      </c>
      <c r="CB124">
        <f t="shared" si="226"/>
        <v>14.000000000000002</v>
      </c>
      <c r="CD124" s="580">
        <f t="shared" si="227"/>
        <v>-50</v>
      </c>
      <c r="CE124">
        <f t="shared" si="228"/>
        <v>-50</v>
      </c>
    </row>
    <row r="125" spans="5:83" x14ac:dyDescent="0.2">
      <c r="E125" s="175">
        <v>15</v>
      </c>
      <c r="F125" s="222">
        <f t="shared" si="229"/>
        <v>0.06</v>
      </c>
      <c r="G125" s="222">
        <f t="shared" si="168"/>
        <v>0.03</v>
      </c>
      <c r="H125" s="222">
        <f t="shared" si="169"/>
        <v>0.72</v>
      </c>
      <c r="I125" s="222">
        <f t="shared" si="170"/>
        <v>0.36</v>
      </c>
      <c r="J125" s="558">
        <f t="shared" si="171"/>
        <v>21.6</v>
      </c>
      <c r="K125" s="453">
        <f t="shared" si="172"/>
        <v>24.5</v>
      </c>
      <c r="L125" s="453">
        <f t="shared" si="173"/>
        <v>46.1</v>
      </c>
      <c r="M125" s="453"/>
      <c r="N125" s="222">
        <f t="shared" si="174"/>
        <v>0.53145336225596529</v>
      </c>
      <c r="O125" s="177">
        <f t="shared" si="175"/>
        <v>5.2709544468546632</v>
      </c>
      <c r="P125" s="177">
        <f t="shared" si="176"/>
        <v>3.9532158351409978</v>
      </c>
      <c r="Q125" s="222">
        <f t="shared" si="177"/>
        <v>0.43924620390455527</v>
      </c>
      <c r="R125" s="222">
        <f t="shared" si="178"/>
        <v>0.43924620390455527</v>
      </c>
      <c r="S125" s="222">
        <f t="shared" si="179"/>
        <v>12</v>
      </c>
      <c r="T125" s="222">
        <f t="shared" si="180"/>
        <v>0.19806659505907628</v>
      </c>
      <c r="U125" s="222">
        <f t="shared" si="181"/>
        <v>0.77025898078529653</v>
      </c>
      <c r="V125" s="222">
        <f t="shared" si="182"/>
        <v>0.67908546877397569</v>
      </c>
      <c r="W125" s="202">
        <f t="shared" si="183"/>
        <v>350</v>
      </c>
      <c r="X125" s="453">
        <f t="shared" si="184"/>
        <v>350</v>
      </c>
      <c r="Z125" s="222">
        <f t="shared" si="185"/>
        <v>0.39045553145336231</v>
      </c>
      <c r="AA125" s="178">
        <f t="shared" si="186"/>
        <v>1.3387046792686708</v>
      </c>
      <c r="AB125" s="178">
        <f t="shared" si="187"/>
        <v>0.12196441763402208</v>
      </c>
      <c r="AC125" s="178"/>
      <c r="AD125" s="178">
        <f t="shared" si="188"/>
        <v>0.99428571428571422</v>
      </c>
      <c r="AE125" s="562">
        <f t="shared" si="189"/>
        <v>208.08561236623072</v>
      </c>
      <c r="AF125" s="545">
        <f t="shared" si="190"/>
        <v>0.10091999999999998</v>
      </c>
      <c r="AH125" s="178">
        <f t="shared" si="191"/>
        <v>0.27105237087157541</v>
      </c>
      <c r="AI125" s="178">
        <f t="shared" si="192"/>
        <v>0.28999999999999998</v>
      </c>
      <c r="AJ125" s="178">
        <f t="shared" si="193"/>
        <v>1.1189060642092747</v>
      </c>
      <c r="AL125" s="562">
        <f t="shared" si="194"/>
        <v>60</v>
      </c>
      <c r="AM125" s="471">
        <f t="shared" si="195"/>
        <v>208.08561236623072</v>
      </c>
      <c r="AO125" s="471">
        <f t="shared" si="196"/>
        <v>60</v>
      </c>
      <c r="AP125" s="471">
        <f t="shared" si="197"/>
        <v>208.08561236623072</v>
      </c>
      <c r="AR125" s="5">
        <f t="shared" si="146"/>
        <v>4.8057142857142843</v>
      </c>
      <c r="AS125" s="5">
        <f t="shared" si="230"/>
        <v>1.1277777777777775</v>
      </c>
      <c r="AT125" s="5">
        <f t="shared" si="231"/>
        <v>3.6779365079365069</v>
      </c>
      <c r="AU125" s="178">
        <f t="shared" si="232"/>
        <v>0.23467432950191572</v>
      </c>
      <c r="AW125" s="5">
        <f t="shared" si="201"/>
        <v>0.56388888888888877</v>
      </c>
      <c r="AX125" s="5">
        <f t="shared" si="202"/>
        <v>0.28194444444444439</v>
      </c>
      <c r="AY125" s="5">
        <f t="shared" si="203"/>
        <v>0.10754200315603821</v>
      </c>
      <c r="AZ125" s="5"/>
      <c r="BA125" s="178">
        <f t="shared" si="204"/>
        <v>8.110920850127748E-2</v>
      </c>
      <c r="BB125" s="178">
        <f t="shared" si="205"/>
        <v>0.29294797920197113</v>
      </c>
      <c r="BC125" s="178">
        <f t="shared" si="206"/>
        <v>0.14647398960098557</v>
      </c>
      <c r="BD125" s="178"/>
      <c r="BE125" s="545">
        <f t="shared" si="207"/>
        <v>2.302546296296296E-3</v>
      </c>
      <c r="BF125" s="545">
        <f t="shared" si="208"/>
        <v>2.0864224137931039E-2</v>
      </c>
      <c r="BG125" s="545">
        <f t="shared" si="209"/>
        <v>2.6010701545778839E-3</v>
      </c>
      <c r="BH125" s="545">
        <f t="shared" si="210"/>
        <v>2.2111281212841862E-2</v>
      </c>
      <c r="BI125">
        <f t="shared" si="211"/>
        <v>6.2640000000000005E-3</v>
      </c>
      <c r="BK125" s="471">
        <f t="shared" si="212"/>
        <v>54.143121801647077</v>
      </c>
      <c r="BL125" s="178">
        <f t="shared" si="213"/>
        <v>1.7999999999999999E-2</v>
      </c>
      <c r="BM125" s="178">
        <f t="shared" si="214"/>
        <v>8.9999999999999993E-3</v>
      </c>
      <c r="BN125" s="545"/>
      <c r="BP125" s="471">
        <f t="shared" si="215"/>
        <v>26.999999999999996</v>
      </c>
      <c r="BQ125" s="545">
        <f t="shared" si="216"/>
        <v>6.2497685185185182E-4</v>
      </c>
      <c r="BR125" s="545">
        <f t="shared" si="217"/>
        <v>7.723666666666666E-3</v>
      </c>
      <c r="BS125" s="545">
        <f t="shared" si="218"/>
        <v>2.1454629629629632E-3</v>
      </c>
      <c r="BT125" s="545">
        <f t="shared" si="219"/>
        <v>1.414393107490496E-3</v>
      </c>
      <c r="BU125" s="545"/>
      <c r="BV125" s="655">
        <f t="shared" si="220"/>
        <v>3.9375000000000009E-3</v>
      </c>
      <c r="BW125" s="471">
        <f t="shared" si="221"/>
        <v>15.845999588971978</v>
      </c>
      <c r="BX125" s="178">
        <f t="shared" si="222"/>
        <v>9.6989121390619049E-2</v>
      </c>
      <c r="BY125" s="5">
        <f t="shared" si="223"/>
        <v>1.08</v>
      </c>
      <c r="BZ125" s="178">
        <f t="shared" si="224"/>
        <v>0.9175955668341047</v>
      </c>
      <c r="CA125" s="5">
        <f t="shared" si="225"/>
        <v>91.759556683410466</v>
      </c>
      <c r="CB125">
        <f t="shared" si="226"/>
        <v>15</v>
      </c>
      <c r="CD125" s="580">
        <f t="shared" si="227"/>
        <v>-50</v>
      </c>
      <c r="CE125">
        <f t="shared" si="228"/>
        <v>-50</v>
      </c>
    </row>
    <row r="126" spans="5:83" x14ac:dyDescent="0.2">
      <c r="E126" s="175">
        <v>16</v>
      </c>
      <c r="F126" s="222">
        <f t="shared" si="229"/>
        <v>6.4000000000000001E-2</v>
      </c>
      <c r="G126" s="222">
        <f t="shared" si="168"/>
        <v>3.2000000000000001E-2</v>
      </c>
      <c r="H126" s="222">
        <f t="shared" si="169"/>
        <v>0.76800000000000002</v>
      </c>
      <c r="I126" s="222">
        <f t="shared" si="170"/>
        <v>0.38400000000000001</v>
      </c>
      <c r="J126" s="558">
        <f t="shared" si="171"/>
        <v>21.6</v>
      </c>
      <c r="K126" s="453">
        <f t="shared" si="172"/>
        <v>24.5</v>
      </c>
      <c r="L126" s="453">
        <f t="shared" si="173"/>
        <v>46.1</v>
      </c>
      <c r="M126" s="453"/>
      <c r="N126" s="222">
        <f t="shared" si="174"/>
        <v>0.53145336225596529</v>
      </c>
      <c r="O126" s="177">
        <f t="shared" si="175"/>
        <v>5.2709544468546632</v>
      </c>
      <c r="P126" s="177">
        <f t="shared" si="176"/>
        <v>3.9532158351409978</v>
      </c>
      <c r="Q126" s="222">
        <f t="shared" si="177"/>
        <v>0.43924620390455527</v>
      </c>
      <c r="R126" s="222">
        <f t="shared" si="178"/>
        <v>0.43924620390455527</v>
      </c>
      <c r="S126" s="222">
        <f t="shared" si="179"/>
        <v>12</v>
      </c>
      <c r="T126" s="222">
        <f t="shared" si="180"/>
        <v>0.21127103472968137</v>
      </c>
      <c r="U126" s="222">
        <f t="shared" si="181"/>
        <v>0.82160957950431635</v>
      </c>
      <c r="V126" s="222">
        <f t="shared" si="182"/>
        <v>0.72435783335890747</v>
      </c>
      <c r="W126" s="202">
        <f t="shared" si="183"/>
        <v>350</v>
      </c>
      <c r="X126" s="453">
        <f t="shared" si="184"/>
        <v>350</v>
      </c>
      <c r="Z126" s="222">
        <f t="shared" si="185"/>
        <v>0.39045553145336231</v>
      </c>
      <c r="AA126" s="178">
        <f t="shared" si="186"/>
        <v>1.3387046792686708</v>
      </c>
      <c r="AB126" s="178">
        <f t="shared" si="187"/>
        <v>0.12196441763402208</v>
      </c>
      <c r="AC126" s="178"/>
      <c r="AD126" s="178">
        <f t="shared" si="188"/>
        <v>0.99428571428571422</v>
      </c>
      <c r="AE126" s="562">
        <f t="shared" si="189"/>
        <v>221.95798652397946</v>
      </c>
      <c r="AF126" s="545">
        <f t="shared" si="190"/>
        <v>0.10091999999999998</v>
      </c>
      <c r="AH126" s="178">
        <f t="shared" si="191"/>
        <v>0.2799416848895061</v>
      </c>
      <c r="AI126" s="178">
        <f t="shared" si="192"/>
        <v>0.28999999999999998</v>
      </c>
      <c r="AJ126" s="178">
        <f t="shared" si="193"/>
        <v>1.1268331351565597</v>
      </c>
      <c r="AL126" s="562">
        <f t="shared" si="194"/>
        <v>64</v>
      </c>
      <c r="AM126" s="471">
        <f t="shared" si="195"/>
        <v>221.95798652397946</v>
      </c>
      <c r="AO126" s="471">
        <f t="shared" si="196"/>
        <v>64</v>
      </c>
      <c r="AP126" s="471">
        <f t="shared" si="197"/>
        <v>221.95798652397946</v>
      </c>
      <c r="AR126" s="5">
        <f t="shared" si="146"/>
        <v>4.5053571428571413</v>
      </c>
      <c r="AS126" s="5">
        <f t="shared" si="230"/>
        <v>1.1277777777777775</v>
      </c>
      <c r="AT126" s="5">
        <f t="shared" si="231"/>
        <v>3.377579365079364</v>
      </c>
      <c r="AU126" s="178">
        <f t="shared" si="232"/>
        <v>0.25031928480204346</v>
      </c>
      <c r="AW126" s="5">
        <f t="shared" si="201"/>
        <v>0.60148148148148139</v>
      </c>
      <c r="AX126" s="5">
        <f t="shared" si="202"/>
        <v>0.3007407407407407</v>
      </c>
      <c r="AY126" s="5">
        <f t="shared" si="203"/>
        <v>0.1053436059284012</v>
      </c>
      <c r="AZ126" s="5"/>
      <c r="BA126" s="178">
        <f t="shared" si="204"/>
        <v>8.3769230333203409E-2</v>
      </c>
      <c r="BB126" s="178">
        <f t="shared" si="205"/>
        <v>0.28993826503389336</v>
      </c>
      <c r="BC126" s="178">
        <f t="shared" si="206"/>
        <v>0.14496913251694668</v>
      </c>
      <c r="BD126" s="178"/>
      <c r="BE126" s="545">
        <f t="shared" si="207"/>
        <v>2.4560493827160499E-3</v>
      </c>
      <c r="BF126" s="545">
        <f t="shared" si="208"/>
        <v>2.2255172413793111E-2</v>
      </c>
      <c r="BG126" s="545">
        <f t="shared" si="209"/>
        <v>2.774474831549743E-3</v>
      </c>
      <c r="BH126" s="545">
        <f t="shared" si="210"/>
        <v>2.3585366627031319E-2</v>
      </c>
      <c r="BI126">
        <f t="shared" si="211"/>
        <v>6.2640000000000005E-3</v>
      </c>
      <c r="BK126" s="471">
        <f t="shared" si="212"/>
        <v>57.335063255090226</v>
      </c>
      <c r="BL126" s="178">
        <f t="shared" si="213"/>
        <v>1.9199999999999998E-2</v>
      </c>
      <c r="BM126" s="178">
        <f t="shared" si="214"/>
        <v>9.5999999999999992E-3</v>
      </c>
      <c r="BN126" s="545"/>
      <c r="BP126" s="471">
        <f t="shared" si="215"/>
        <v>28.8</v>
      </c>
      <c r="BQ126" s="545">
        <f t="shared" si="216"/>
        <v>6.6664197530864216E-4</v>
      </c>
      <c r="BR126" s="545">
        <f t="shared" si="217"/>
        <v>7.5657777777777772E-3</v>
      </c>
      <c r="BS126" s="545">
        <f t="shared" si="218"/>
        <v>2.1016049382716049E-3</v>
      </c>
      <c r="BT126" s="545">
        <f t="shared" si="219"/>
        <v>1.6620417935136254E-3</v>
      </c>
      <c r="BU126" s="545"/>
      <c r="BV126" s="655">
        <f t="shared" si="220"/>
        <v>4.2000000000000015E-3</v>
      </c>
      <c r="BW126" s="471">
        <f t="shared" si="221"/>
        <v>16.19606648487165</v>
      </c>
      <c r="BX126" s="178">
        <f t="shared" si="222"/>
        <v>0.10233112973996188</v>
      </c>
      <c r="BY126" s="5">
        <f t="shared" si="223"/>
        <v>1.1520000000000001</v>
      </c>
      <c r="BZ126" s="178">
        <f t="shared" si="224"/>
        <v>0.91841777078340048</v>
      </c>
      <c r="CA126" s="5">
        <f t="shared" si="225"/>
        <v>91.841777078340044</v>
      </c>
      <c r="CB126">
        <f t="shared" si="226"/>
        <v>16</v>
      </c>
      <c r="CD126" s="580">
        <f t="shared" si="227"/>
        <v>-50</v>
      </c>
      <c r="CE126">
        <f t="shared" si="228"/>
        <v>-50</v>
      </c>
    </row>
    <row r="127" spans="5:83" x14ac:dyDescent="0.2">
      <c r="E127" s="175">
        <v>17</v>
      </c>
      <c r="F127" s="222">
        <f t="shared" si="229"/>
        <v>6.8000000000000005E-2</v>
      </c>
      <c r="G127" s="222">
        <f t="shared" si="168"/>
        <v>3.4000000000000002E-2</v>
      </c>
      <c r="H127" s="222">
        <f t="shared" si="169"/>
        <v>0.81600000000000006</v>
      </c>
      <c r="I127" s="222">
        <f t="shared" si="170"/>
        <v>0.40800000000000003</v>
      </c>
      <c r="J127" s="558">
        <f t="shared" si="171"/>
        <v>21.6</v>
      </c>
      <c r="K127" s="453">
        <f t="shared" si="172"/>
        <v>24.5</v>
      </c>
      <c r="L127" s="453">
        <f t="shared" si="173"/>
        <v>46.1</v>
      </c>
      <c r="M127" s="453"/>
      <c r="N127" s="222">
        <f t="shared" si="174"/>
        <v>0.53145336225596529</v>
      </c>
      <c r="O127" s="177">
        <f t="shared" si="175"/>
        <v>5.2709544468546632</v>
      </c>
      <c r="P127" s="177">
        <f t="shared" si="176"/>
        <v>3.9532158351409978</v>
      </c>
      <c r="Q127" s="222">
        <f t="shared" si="177"/>
        <v>0.43924620390455527</v>
      </c>
      <c r="R127" s="222">
        <f t="shared" si="178"/>
        <v>0.43924620390455527</v>
      </c>
      <c r="S127" s="222">
        <f t="shared" si="179"/>
        <v>12</v>
      </c>
      <c r="T127" s="222">
        <f t="shared" si="180"/>
        <v>0.22447547440028645</v>
      </c>
      <c r="U127" s="222">
        <f t="shared" si="181"/>
        <v>0.87296017822333616</v>
      </c>
      <c r="V127" s="222">
        <f t="shared" si="182"/>
        <v>0.76963019794383924</v>
      </c>
      <c r="W127" s="202">
        <f t="shared" si="183"/>
        <v>350</v>
      </c>
      <c r="X127" s="453">
        <f t="shared" si="184"/>
        <v>350</v>
      </c>
      <c r="Z127" s="222">
        <f t="shared" si="185"/>
        <v>0.39045553145336231</v>
      </c>
      <c r="AA127" s="178">
        <f t="shared" si="186"/>
        <v>1.3387046792686708</v>
      </c>
      <c r="AB127" s="178">
        <f t="shared" si="187"/>
        <v>0.12196441763402208</v>
      </c>
      <c r="AC127" s="178"/>
      <c r="AD127" s="178">
        <f t="shared" si="188"/>
        <v>0.99428571428571422</v>
      </c>
      <c r="AE127" s="562">
        <f t="shared" si="189"/>
        <v>235.83036068172817</v>
      </c>
      <c r="AF127" s="545">
        <f t="shared" si="190"/>
        <v>0.10091999999999998</v>
      </c>
      <c r="AH127" s="178">
        <f t="shared" si="191"/>
        <v>0.28855728395320224</v>
      </c>
      <c r="AI127" s="178">
        <f t="shared" si="192"/>
        <v>0.28999999999999998</v>
      </c>
      <c r="AJ127" s="178">
        <f t="shared" si="193"/>
        <v>1.1347602061038446</v>
      </c>
      <c r="AL127" s="562">
        <f t="shared" si="194"/>
        <v>68</v>
      </c>
      <c r="AM127" s="471">
        <f t="shared" si="195"/>
        <v>235.83036068172817</v>
      </c>
      <c r="AO127" s="471">
        <f t="shared" si="196"/>
        <v>68</v>
      </c>
      <c r="AP127" s="471">
        <f t="shared" si="197"/>
        <v>235.83036068172817</v>
      </c>
      <c r="AR127" s="5">
        <f t="shared" si="146"/>
        <v>4.2403361344537807</v>
      </c>
      <c r="AS127" s="5">
        <f t="shared" si="230"/>
        <v>1.1277777777777775</v>
      </c>
      <c r="AT127" s="5">
        <f t="shared" si="231"/>
        <v>3.1125583566760033</v>
      </c>
      <c r="AU127" s="178">
        <f t="shared" si="232"/>
        <v>0.26596424010217112</v>
      </c>
      <c r="AW127" s="5">
        <f t="shared" si="201"/>
        <v>0.63907407407407391</v>
      </c>
      <c r="AX127" s="5">
        <f t="shared" si="202"/>
        <v>0.31953703703703695</v>
      </c>
      <c r="AY127" s="5">
        <f t="shared" si="203"/>
        <v>0.10314520870076423</v>
      </c>
      <c r="AZ127" s="5"/>
      <c r="BA127" s="178">
        <f t="shared" si="204"/>
        <v>8.6347346210123105E-2</v>
      </c>
      <c r="BB127" s="178">
        <f t="shared" si="205"/>
        <v>0.28689697897191224</v>
      </c>
      <c r="BC127" s="178">
        <f t="shared" si="206"/>
        <v>0.14344848948595612</v>
      </c>
      <c r="BD127" s="178"/>
      <c r="BE127" s="545">
        <f t="shared" si="207"/>
        <v>2.6095524691358012E-3</v>
      </c>
      <c r="BF127" s="545">
        <f t="shared" si="208"/>
        <v>2.3646120689655176E-2</v>
      </c>
      <c r="BG127" s="545">
        <f t="shared" si="209"/>
        <v>2.947879508521602E-3</v>
      </c>
      <c r="BH127" s="545">
        <f t="shared" si="210"/>
        <v>2.5059452041220776E-2</v>
      </c>
      <c r="BI127">
        <f t="shared" si="211"/>
        <v>6.2640000000000005E-3</v>
      </c>
      <c r="BK127" s="471">
        <f t="shared" si="212"/>
        <v>60.527004708533362</v>
      </c>
      <c r="BL127" s="178">
        <f t="shared" si="213"/>
        <v>2.0400000000000001E-2</v>
      </c>
      <c r="BM127" s="178">
        <f t="shared" si="214"/>
        <v>1.0200000000000001E-2</v>
      </c>
      <c r="BN127" s="545"/>
      <c r="BP127" s="471">
        <f t="shared" si="215"/>
        <v>30.6</v>
      </c>
      <c r="BQ127" s="545">
        <f t="shared" si="216"/>
        <v>7.0830709876543185E-4</v>
      </c>
      <c r="BR127" s="545">
        <f t="shared" si="217"/>
        <v>7.4078888888888866E-3</v>
      </c>
      <c r="BS127" s="545">
        <f t="shared" si="218"/>
        <v>2.0577469135802467E-3</v>
      </c>
      <c r="BT127" s="545">
        <f t="shared" si="219"/>
        <v>1.9340348125947123E-3</v>
      </c>
      <c r="BU127" s="545"/>
      <c r="BV127" s="655">
        <f t="shared" si="220"/>
        <v>4.4625000000000012E-3</v>
      </c>
      <c r="BW127" s="471">
        <f t="shared" si="221"/>
        <v>16.57047771382928</v>
      </c>
      <c r="BX127" s="178">
        <f t="shared" si="222"/>
        <v>0.10769748242236266</v>
      </c>
      <c r="BY127" s="5">
        <f t="shared" si="223"/>
        <v>1.2240000000000002</v>
      </c>
      <c r="BZ127" s="178">
        <f t="shared" si="224"/>
        <v>0.91912766687336489</v>
      </c>
      <c r="CA127" s="5">
        <f t="shared" si="225"/>
        <v>91.912766687336486</v>
      </c>
      <c r="CB127">
        <f t="shared" si="226"/>
        <v>17</v>
      </c>
      <c r="CD127" s="580">
        <f t="shared" si="227"/>
        <v>-50</v>
      </c>
      <c r="CE127">
        <f t="shared" si="228"/>
        <v>-50</v>
      </c>
    </row>
    <row r="128" spans="5:83" x14ac:dyDescent="0.2">
      <c r="E128" s="175">
        <v>18</v>
      </c>
      <c r="F128" s="222">
        <f t="shared" si="229"/>
        <v>7.1999999999999995E-2</v>
      </c>
      <c r="G128" s="222">
        <f t="shared" si="168"/>
        <v>3.5999999999999997E-2</v>
      </c>
      <c r="H128" s="222">
        <f t="shared" si="169"/>
        <v>0.86399999999999988</v>
      </c>
      <c r="I128" s="222">
        <f t="shared" si="170"/>
        <v>0.43199999999999994</v>
      </c>
      <c r="J128" s="558">
        <f t="shared" si="171"/>
        <v>21.6</v>
      </c>
      <c r="K128" s="453">
        <f t="shared" si="172"/>
        <v>24.5</v>
      </c>
      <c r="L128" s="453">
        <f t="shared" si="173"/>
        <v>46.1</v>
      </c>
      <c r="M128" s="453"/>
      <c r="N128" s="222">
        <f t="shared" si="174"/>
        <v>0.53145336225596529</v>
      </c>
      <c r="O128" s="177">
        <f t="shared" si="175"/>
        <v>5.2709544468546632</v>
      </c>
      <c r="P128" s="177">
        <f t="shared" si="176"/>
        <v>3.9532158351409978</v>
      </c>
      <c r="Q128" s="222">
        <f t="shared" si="177"/>
        <v>0.43924620390455527</v>
      </c>
      <c r="R128" s="222">
        <f t="shared" si="178"/>
        <v>0.43924620390455527</v>
      </c>
      <c r="S128" s="222">
        <f t="shared" si="179"/>
        <v>12</v>
      </c>
      <c r="T128" s="222">
        <f t="shared" si="180"/>
        <v>0.23767991407089148</v>
      </c>
      <c r="U128" s="222">
        <f t="shared" si="181"/>
        <v>0.92431077694235564</v>
      </c>
      <c r="V128" s="222">
        <f t="shared" si="182"/>
        <v>0.81490256252877069</v>
      </c>
      <c r="W128" s="202">
        <f t="shared" si="183"/>
        <v>350</v>
      </c>
      <c r="X128" s="453">
        <f t="shared" si="184"/>
        <v>350</v>
      </c>
      <c r="Z128" s="222">
        <f t="shared" si="185"/>
        <v>0.39045553145336231</v>
      </c>
      <c r="AA128" s="178">
        <f t="shared" si="186"/>
        <v>1.3387046792686708</v>
      </c>
      <c r="AB128" s="178">
        <f t="shared" si="187"/>
        <v>0.12196441763402208</v>
      </c>
      <c r="AC128" s="178"/>
      <c r="AD128" s="178">
        <f t="shared" si="188"/>
        <v>0.99428571428571422</v>
      </c>
      <c r="AE128" s="562">
        <f t="shared" si="189"/>
        <v>249.70273483947685</v>
      </c>
      <c r="AF128" s="545">
        <f t="shared" si="190"/>
        <v>0.10091999999999998</v>
      </c>
      <c r="AH128" s="178">
        <f t="shared" si="191"/>
        <v>0.29692299558323609</v>
      </c>
      <c r="AI128" s="178">
        <f t="shared" si="192"/>
        <v>0.29692299558323609</v>
      </c>
      <c r="AJ128" s="178">
        <f t="shared" si="193"/>
        <v>1.1426872770511296</v>
      </c>
      <c r="AL128" s="562">
        <f t="shared" si="194"/>
        <v>72</v>
      </c>
      <c r="AM128" s="471">
        <f t="shared" si="195"/>
        <v>249.70273483947685</v>
      </c>
      <c r="AO128" s="471">
        <f t="shared" si="196"/>
        <v>72</v>
      </c>
      <c r="AP128" s="471">
        <f t="shared" si="197"/>
        <v>249.70273483947685</v>
      </c>
      <c r="AR128" s="5">
        <f t="shared" si="146"/>
        <v>4.0047619047619039</v>
      </c>
      <c r="AS128" s="5">
        <f t="shared" si="230"/>
        <v>1.1547005383792515</v>
      </c>
      <c r="AT128" s="5">
        <f t="shared" si="231"/>
        <v>2.8500613663826524</v>
      </c>
      <c r="AU128" s="178">
        <f t="shared" si="232"/>
        <v>0.28833188235391544</v>
      </c>
      <c r="AW128" s="5">
        <f t="shared" si="201"/>
        <v>0.69282032302755081</v>
      </c>
      <c r="AX128" s="5">
        <f t="shared" si="202"/>
        <v>0.34641016151377541</v>
      </c>
      <c r="AY128" s="5">
        <f t="shared" si="203"/>
        <v>0.10000215320640883</v>
      </c>
      <c r="AZ128" s="5"/>
      <c r="BA128" s="178">
        <f t="shared" si="204"/>
        <v>9.2051218062159879E-2</v>
      </c>
      <c r="BB128" s="178">
        <f t="shared" si="205"/>
        <v>0.28923574022111104</v>
      </c>
      <c r="BC128" s="178">
        <f t="shared" si="206"/>
        <v>0.14461787011055552</v>
      </c>
      <c r="BD128" s="178"/>
      <c r="BE128" s="545">
        <f t="shared" si="207"/>
        <v>2.9656993613545583E-3</v>
      </c>
      <c r="BF128" s="545">
        <f t="shared" si="208"/>
        <v>2.5634763854708465E-2</v>
      </c>
      <c r="BG128" s="545">
        <f t="shared" si="209"/>
        <v>3.1212841854934602E-3</v>
      </c>
      <c r="BH128" s="545">
        <f t="shared" si="210"/>
        <v>2.653353745541023E-2</v>
      </c>
      <c r="BI128">
        <f t="shared" si="211"/>
        <v>6.2640000000000005E-3</v>
      </c>
      <c r="BK128" s="471">
        <f t="shared" si="212"/>
        <v>64.519284856966721</v>
      </c>
      <c r="BL128" s="178">
        <f t="shared" si="213"/>
        <v>2.1599999999999998E-2</v>
      </c>
      <c r="BM128" s="178">
        <f t="shared" si="214"/>
        <v>1.0799999999999999E-2</v>
      </c>
      <c r="BN128" s="545"/>
      <c r="BP128" s="471">
        <f t="shared" si="215"/>
        <v>32.4</v>
      </c>
      <c r="BQ128" s="545">
        <f t="shared" si="216"/>
        <v>8.0497554093909439E-4</v>
      </c>
      <c r="BR128" s="545">
        <f t="shared" si="217"/>
        <v>7.5291582079128625E-3</v>
      </c>
      <c r="BS128" s="545">
        <f t="shared" si="218"/>
        <v>2.091432835531351E-3</v>
      </c>
      <c r="BT128" s="545">
        <f t="shared" si="219"/>
        <v>2.3666707055834415E-3</v>
      </c>
      <c r="BU128" s="545"/>
      <c r="BV128" s="655">
        <f t="shared" si="220"/>
        <v>4.9532869033463572E-3</v>
      </c>
      <c r="BW128" s="471">
        <f t="shared" si="221"/>
        <v>17.745524193313106</v>
      </c>
      <c r="BX128" s="178">
        <f t="shared" si="222"/>
        <v>0.11466480905027983</v>
      </c>
      <c r="BY128" s="5">
        <f t="shared" si="223"/>
        <v>1.2959999999999998</v>
      </c>
      <c r="BZ128" s="178">
        <f t="shared" si="224"/>
        <v>0.9187157655634175</v>
      </c>
      <c r="CA128" s="5">
        <f t="shared" si="225"/>
        <v>91.871576556341751</v>
      </c>
      <c r="CB128">
        <f t="shared" si="226"/>
        <v>17.999999999999996</v>
      </c>
      <c r="CD128" s="580">
        <f t="shared" si="227"/>
        <v>-50</v>
      </c>
      <c r="CE128">
        <f t="shared" si="228"/>
        <v>-50</v>
      </c>
    </row>
    <row r="129" spans="5:83" x14ac:dyDescent="0.2">
      <c r="E129" s="175">
        <v>19</v>
      </c>
      <c r="F129" s="222">
        <f t="shared" si="229"/>
        <v>7.6000000000000012E-2</v>
      </c>
      <c r="G129" s="222">
        <f t="shared" si="168"/>
        <v>3.8000000000000006E-2</v>
      </c>
      <c r="H129" s="222">
        <f t="shared" si="169"/>
        <v>0.91200000000000014</v>
      </c>
      <c r="I129" s="222">
        <f t="shared" si="170"/>
        <v>0.45600000000000007</v>
      </c>
      <c r="J129" s="558">
        <f t="shared" si="171"/>
        <v>21.6</v>
      </c>
      <c r="K129" s="453">
        <f t="shared" si="172"/>
        <v>24.5</v>
      </c>
      <c r="L129" s="453">
        <f t="shared" si="173"/>
        <v>46.1</v>
      </c>
      <c r="M129" s="453"/>
      <c r="N129" s="222">
        <f t="shared" si="174"/>
        <v>0.53145336225596529</v>
      </c>
      <c r="O129" s="177">
        <f t="shared" si="175"/>
        <v>5.2709544468546632</v>
      </c>
      <c r="P129" s="177">
        <f t="shared" si="176"/>
        <v>3.9532158351409978</v>
      </c>
      <c r="Q129" s="222">
        <f t="shared" si="177"/>
        <v>0.43924620390455527</v>
      </c>
      <c r="R129" s="222">
        <f t="shared" si="178"/>
        <v>0.43924620390455527</v>
      </c>
      <c r="S129" s="222">
        <f t="shared" si="179"/>
        <v>12</v>
      </c>
      <c r="T129" s="222">
        <f t="shared" si="180"/>
        <v>0.25088435374149665</v>
      </c>
      <c r="U129" s="222">
        <f t="shared" si="181"/>
        <v>0.97566137566137578</v>
      </c>
      <c r="V129" s="222">
        <f t="shared" si="182"/>
        <v>0.8601749271137028</v>
      </c>
      <c r="W129" s="202">
        <f t="shared" si="183"/>
        <v>350</v>
      </c>
      <c r="X129" s="453">
        <f t="shared" si="184"/>
        <v>350</v>
      </c>
      <c r="Z129" s="222">
        <f t="shared" si="185"/>
        <v>0.39045553145336231</v>
      </c>
      <c r="AA129" s="178">
        <f t="shared" si="186"/>
        <v>1.3387046792686708</v>
      </c>
      <c r="AB129" s="178">
        <f t="shared" si="187"/>
        <v>0.12196441763402208</v>
      </c>
      <c r="AC129" s="178"/>
      <c r="AD129" s="178">
        <f t="shared" si="188"/>
        <v>0.99428571428571422</v>
      </c>
      <c r="AE129" s="562">
        <f t="shared" si="189"/>
        <v>263.57510899722564</v>
      </c>
      <c r="AF129" s="545">
        <f t="shared" si="190"/>
        <v>0.10091999999999998</v>
      </c>
      <c r="AH129" s="178">
        <f t="shared" si="191"/>
        <v>0.30505937862946608</v>
      </c>
      <c r="AI129" s="178">
        <f t="shared" si="192"/>
        <v>0.30505937862946608</v>
      </c>
      <c r="AJ129" s="178">
        <f t="shared" si="193"/>
        <v>1.1506143479984146</v>
      </c>
      <c r="AL129" s="562">
        <f t="shared" si="194"/>
        <v>76.000000000000014</v>
      </c>
      <c r="AM129" s="471">
        <f t="shared" si="195"/>
        <v>263.57510899722564</v>
      </c>
      <c r="AO129" s="471">
        <f t="shared" si="196"/>
        <v>76.000000000000014</v>
      </c>
      <c r="AP129" s="471">
        <f t="shared" si="197"/>
        <v>263.57510899722564</v>
      </c>
      <c r="AR129" s="5">
        <f t="shared" si="146"/>
        <v>3.7939849624060131</v>
      </c>
      <c r="AS129" s="5">
        <f t="shared" si="230"/>
        <v>1.1863420280034789</v>
      </c>
      <c r="AT129" s="5">
        <f t="shared" si="231"/>
        <v>2.6076429344025343</v>
      </c>
      <c r="AU129" s="178">
        <f t="shared" si="232"/>
        <v>0.3126902293390067</v>
      </c>
      <c r="AW129" s="5">
        <f t="shared" si="201"/>
        <v>0.75134995106887004</v>
      </c>
      <c r="AX129" s="5">
        <f t="shared" si="202"/>
        <v>0.37567497553443502</v>
      </c>
      <c r="AY129" s="5">
        <f t="shared" si="203"/>
        <v>9.6579367940834604E-2</v>
      </c>
      <c r="AZ129" s="5"/>
      <c r="BA129" s="178">
        <f t="shared" si="204"/>
        <v>9.848745373275232E-2</v>
      </c>
      <c r="BB129" s="178">
        <f t="shared" si="205"/>
        <v>0.2920317080079099</v>
      </c>
      <c r="BC129" s="178">
        <f t="shared" si="206"/>
        <v>0.14601585400395495</v>
      </c>
      <c r="BD129" s="178"/>
      <c r="BE129" s="545">
        <f t="shared" si="207"/>
        <v>3.3949224899663595E-3</v>
      </c>
      <c r="BF129" s="545">
        <f t="shared" si="208"/>
        <v>2.7800394889875835E-2</v>
      </c>
      <c r="BG129" s="545">
        <f t="shared" si="209"/>
        <v>3.2946888624653206E-3</v>
      </c>
      <c r="BH129" s="545">
        <f t="shared" si="210"/>
        <v>2.8007622869599697E-2</v>
      </c>
      <c r="BI129">
        <f t="shared" si="211"/>
        <v>6.2640000000000005E-3</v>
      </c>
      <c r="BK129" s="471">
        <f t="shared" si="212"/>
        <v>68.761629111907226</v>
      </c>
      <c r="BL129" s="178">
        <f t="shared" si="213"/>
        <v>2.2800000000000004E-2</v>
      </c>
      <c r="BM129" s="178">
        <f t="shared" si="214"/>
        <v>1.1400000000000002E-2</v>
      </c>
      <c r="BN129" s="545"/>
      <c r="BP129" s="471">
        <f t="shared" si="215"/>
        <v>34.20000000000001</v>
      </c>
      <c r="BQ129" s="545">
        <f t="shared" si="216"/>
        <v>9.2147896156229766E-4</v>
      </c>
      <c r="BR129" s="545">
        <f t="shared" si="217"/>
        <v>7.6754266633815432E-3</v>
      </c>
      <c r="BS129" s="545">
        <f t="shared" si="218"/>
        <v>2.132062962050429E-3</v>
      </c>
      <c r="BT129" s="545">
        <f t="shared" si="219"/>
        <v>2.8986244060814482E-3</v>
      </c>
      <c r="BU129" s="545"/>
      <c r="BV129" s="655">
        <f t="shared" si="220"/>
        <v>5.5189400373704825E-3</v>
      </c>
      <c r="BW129" s="471">
        <f t="shared" si="221"/>
        <v>19.1465330304462</v>
      </c>
      <c r="BX129" s="178">
        <f t="shared" si="222"/>
        <v>0.12210816214235343</v>
      </c>
      <c r="BY129" s="5">
        <f t="shared" si="223"/>
        <v>1.3680000000000003</v>
      </c>
      <c r="BZ129" s="178">
        <f t="shared" si="224"/>
        <v>0.91805416194298506</v>
      </c>
      <c r="CA129" s="5">
        <f t="shared" si="225"/>
        <v>91.805416194298502</v>
      </c>
      <c r="CB129">
        <f t="shared" si="226"/>
        <v>19.000000000000004</v>
      </c>
      <c r="CD129" s="580">
        <f t="shared" si="227"/>
        <v>-50</v>
      </c>
      <c r="CE129">
        <f t="shared" si="228"/>
        <v>-50</v>
      </c>
    </row>
    <row r="130" spans="5:83" x14ac:dyDescent="0.2">
      <c r="E130" s="175">
        <v>20</v>
      </c>
      <c r="F130" s="222">
        <f t="shared" si="229"/>
        <v>8.0000000000000016E-2</v>
      </c>
      <c r="G130" s="222">
        <f t="shared" si="168"/>
        <v>4.0000000000000008E-2</v>
      </c>
      <c r="H130" s="222">
        <f t="shared" si="169"/>
        <v>0.96000000000000019</v>
      </c>
      <c r="I130" s="222">
        <f t="shared" si="170"/>
        <v>0.48000000000000009</v>
      </c>
      <c r="J130" s="558">
        <f t="shared" si="171"/>
        <v>21.6</v>
      </c>
      <c r="K130" s="453">
        <f t="shared" si="172"/>
        <v>24.5</v>
      </c>
      <c r="L130" s="453">
        <f t="shared" si="173"/>
        <v>46.1</v>
      </c>
      <c r="M130" s="453"/>
      <c r="N130" s="222">
        <f t="shared" si="174"/>
        <v>0.53145336225596529</v>
      </c>
      <c r="O130" s="177">
        <f t="shared" si="175"/>
        <v>5.2709544468546632</v>
      </c>
      <c r="P130" s="177">
        <f t="shared" si="176"/>
        <v>3.9532158351409978</v>
      </c>
      <c r="Q130" s="222">
        <f t="shared" si="177"/>
        <v>0.43924620390455527</v>
      </c>
      <c r="R130" s="222">
        <f t="shared" si="178"/>
        <v>0.43924620390455527</v>
      </c>
      <c r="S130" s="222">
        <f t="shared" si="179"/>
        <v>12</v>
      </c>
      <c r="T130" s="222">
        <f t="shared" si="180"/>
        <v>0.26408879341210173</v>
      </c>
      <c r="U130" s="222">
        <f t="shared" si="181"/>
        <v>1.0270119743803954</v>
      </c>
      <c r="V130" s="222">
        <f t="shared" si="182"/>
        <v>0.90544729169863447</v>
      </c>
      <c r="W130" s="202">
        <f t="shared" si="183"/>
        <v>350</v>
      </c>
      <c r="X130" s="453">
        <f t="shared" si="184"/>
        <v>350</v>
      </c>
      <c r="Z130" s="222">
        <f t="shared" si="185"/>
        <v>0.39045553145336231</v>
      </c>
      <c r="AA130" s="178">
        <f t="shared" si="186"/>
        <v>1.3387046792686708</v>
      </c>
      <c r="AB130" s="178">
        <f t="shared" si="187"/>
        <v>0.12196441763402208</v>
      </c>
      <c r="AC130" s="178"/>
      <c r="AD130" s="178">
        <f t="shared" si="188"/>
        <v>0.99428571428571422</v>
      </c>
      <c r="AE130" s="562">
        <f t="shared" si="189"/>
        <v>277.44748315497435</v>
      </c>
      <c r="AF130" s="545">
        <f t="shared" si="190"/>
        <v>0.10091999999999998</v>
      </c>
      <c r="AH130" s="178">
        <f t="shared" si="191"/>
        <v>0.31298431857438069</v>
      </c>
      <c r="AI130" s="178">
        <f t="shared" si="192"/>
        <v>0.31298431857438069</v>
      </c>
      <c r="AJ130" s="178">
        <f t="shared" si="193"/>
        <v>1.1585414189456995</v>
      </c>
      <c r="AL130" s="562">
        <f t="shared" si="194"/>
        <v>80.000000000000014</v>
      </c>
      <c r="AM130" s="471">
        <f t="shared" si="195"/>
        <v>277.44748315497435</v>
      </c>
      <c r="AO130" s="471">
        <f t="shared" si="196"/>
        <v>80.000000000000014</v>
      </c>
      <c r="AP130" s="471">
        <f t="shared" si="197"/>
        <v>277.44748315497435</v>
      </c>
      <c r="AR130" s="5">
        <f t="shared" si="146"/>
        <v>3.6042857142857128</v>
      </c>
      <c r="AS130" s="5">
        <f t="shared" si="230"/>
        <v>1.2171612389003692</v>
      </c>
      <c r="AT130" s="5">
        <f t="shared" si="231"/>
        <v>2.3871244753853436</v>
      </c>
      <c r="AU130" s="178">
        <f t="shared" si="232"/>
        <v>0.33769832232669789</v>
      </c>
      <c r="AW130" s="5">
        <f t="shared" si="201"/>
        <v>0.81144082593357969</v>
      </c>
      <c r="AX130" s="5">
        <f t="shared" si="202"/>
        <v>0.40572041296678985</v>
      </c>
      <c r="AY130" s="5">
        <f t="shared" si="203"/>
        <v>9.3065281691436408E-2</v>
      </c>
      <c r="AZ130" s="5"/>
      <c r="BA130" s="178">
        <f t="shared" si="204"/>
        <v>0.10500897101839043</v>
      </c>
      <c r="BB130" s="178">
        <f t="shared" si="205"/>
        <v>0.29411682869328409</v>
      </c>
      <c r="BC130" s="178">
        <f t="shared" si="206"/>
        <v>0.14705841434664205</v>
      </c>
      <c r="BD130" s="178"/>
      <c r="BE130" s="545">
        <f t="shared" si="207"/>
        <v>3.8594093980194068E-3</v>
      </c>
      <c r="BF130" s="545">
        <f t="shared" si="208"/>
        <v>3.002379298571721E-2</v>
      </c>
      <c r="BG130" s="545">
        <f t="shared" si="209"/>
        <v>3.4680935394371792E-3</v>
      </c>
      <c r="BH130" s="545">
        <f t="shared" si="210"/>
        <v>2.9481708283789151E-2</v>
      </c>
      <c r="BI130">
        <f t="shared" si="211"/>
        <v>6.2640000000000005E-3</v>
      </c>
      <c r="BK130" s="471">
        <f t="shared" si="212"/>
        <v>73.09700420696295</v>
      </c>
      <c r="BL130" s="178">
        <f t="shared" si="213"/>
        <v>2.4000000000000004E-2</v>
      </c>
      <c r="BM130" s="178">
        <f t="shared" si="214"/>
        <v>1.2000000000000002E-2</v>
      </c>
      <c r="BN130" s="545"/>
      <c r="BP130" s="471">
        <f t="shared" si="215"/>
        <v>36.000000000000007</v>
      </c>
      <c r="BQ130" s="545">
        <f t="shared" si="216"/>
        <v>1.0475539794624104E-3</v>
      </c>
      <c r="BR130" s="545">
        <f t="shared" si="217"/>
        <v>7.785423802853516E-3</v>
      </c>
      <c r="BS130" s="545">
        <f t="shared" si="218"/>
        <v>2.1626177230148658E-3</v>
      </c>
      <c r="BT130" s="545">
        <f t="shared" si="219"/>
        <v>3.5134066968347476E-3</v>
      </c>
      <c r="BU130" s="545"/>
      <c r="BV130" s="655">
        <f t="shared" si="220"/>
        <v>6.1151690164769883E-3</v>
      </c>
      <c r="BW130" s="471">
        <f t="shared" si="221"/>
        <v>20.624171218642527</v>
      </c>
      <c r="BX130" s="178">
        <f t="shared" si="222"/>
        <v>0.12972117542560549</v>
      </c>
      <c r="BY130" s="5">
        <f t="shared" si="223"/>
        <v>1.4400000000000004</v>
      </c>
      <c r="BZ130" s="178">
        <f t="shared" si="224"/>
        <v>0.91736037109237978</v>
      </c>
      <c r="CA130" s="5">
        <f t="shared" si="225"/>
        <v>91.736037109237984</v>
      </c>
      <c r="CB130">
        <f t="shared" si="226"/>
        <v>20.000000000000004</v>
      </c>
      <c r="CD130" s="580">
        <f t="shared" si="227"/>
        <v>-50</v>
      </c>
      <c r="CE130">
        <f t="shared" si="228"/>
        <v>-50</v>
      </c>
    </row>
    <row r="131" spans="5:83" x14ac:dyDescent="0.2">
      <c r="E131" s="175">
        <v>21</v>
      </c>
      <c r="F131" s="222">
        <f t="shared" si="229"/>
        <v>8.4000000000000005E-2</v>
      </c>
      <c r="G131" s="222">
        <f t="shared" si="168"/>
        <v>4.2000000000000003E-2</v>
      </c>
      <c r="H131" s="222">
        <f t="shared" si="169"/>
        <v>1.008</v>
      </c>
      <c r="I131" s="222">
        <f t="shared" si="170"/>
        <v>0.504</v>
      </c>
      <c r="J131" s="558">
        <f t="shared" si="171"/>
        <v>21.6</v>
      </c>
      <c r="K131" s="453">
        <f t="shared" si="172"/>
        <v>24.5</v>
      </c>
      <c r="L131" s="453">
        <f t="shared" si="173"/>
        <v>46.1</v>
      </c>
      <c r="M131" s="453"/>
      <c r="N131" s="222">
        <f t="shared" si="174"/>
        <v>0.53145336225596529</v>
      </c>
      <c r="O131" s="177">
        <f t="shared" si="175"/>
        <v>5.2709544468546632</v>
      </c>
      <c r="P131" s="177">
        <f t="shared" si="176"/>
        <v>3.9532158351409978</v>
      </c>
      <c r="Q131" s="222">
        <f t="shared" si="177"/>
        <v>0.43924620390455527</v>
      </c>
      <c r="R131" s="222">
        <f t="shared" si="178"/>
        <v>0.43924620390455527</v>
      </c>
      <c r="S131" s="222">
        <f t="shared" si="179"/>
        <v>12</v>
      </c>
      <c r="T131" s="222">
        <f t="shared" si="180"/>
        <v>0.27729323308270676</v>
      </c>
      <c r="U131" s="222">
        <f t="shared" si="181"/>
        <v>1.0783625730994153</v>
      </c>
      <c r="V131" s="222">
        <f t="shared" si="182"/>
        <v>0.95071965628356603</v>
      </c>
      <c r="W131" s="202">
        <f t="shared" si="183"/>
        <v>350</v>
      </c>
      <c r="X131" s="453">
        <f t="shared" si="184"/>
        <v>350</v>
      </c>
      <c r="Z131" s="222">
        <f t="shared" si="185"/>
        <v>0.39045553145336231</v>
      </c>
      <c r="AA131" s="178">
        <f t="shared" si="186"/>
        <v>1.3387046792686708</v>
      </c>
      <c r="AB131" s="178">
        <f t="shared" si="187"/>
        <v>0.12196441763402208</v>
      </c>
      <c r="AC131" s="178"/>
      <c r="AD131" s="178">
        <f t="shared" si="188"/>
        <v>0.99428571428571422</v>
      </c>
      <c r="AE131" s="562">
        <f t="shared" si="189"/>
        <v>291.31985731272306</v>
      </c>
      <c r="AF131" s="545">
        <f t="shared" si="190"/>
        <v>0.10091999999999998</v>
      </c>
      <c r="AH131" s="178">
        <f t="shared" si="191"/>
        <v>0.32071349029490925</v>
      </c>
      <c r="AI131" s="178">
        <f t="shared" si="192"/>
        <v>0.32071349029490925</v>
      </c>
      <c r="AJ131" s="178">
        <f t="shared" si="193"/>
        <v>1.1664684898929847</v>
      </c>
      <c r="AL131" s="562">
        <f t="shared" si="194"/>
        <v>84</v>
      </c>
      <c r="AM131" s="471">
        <f t="shared" si="195"/>
        <v>291.31985731272306</v>
      </c>
      <c r="AO131" s="471">
        <f t="shared" si="196"/>
        <v>84</v>
      </c>
      <c r="AP131" s="471">
        <f t="shared" si="197"/>
        <v>291.31985731272306</v>
      </c>
      <c r="AR131" s="5">
        <f t="shared" si="146"/>
        <v>3.4326530612244883</v>
      </c>
      <c r="AS131" s="5">
        <f t="shared" si="230"/>
        <v>1.247219128924647</v>
      </c>
      <c r="AT131" s="5">
        <f t="shared" si="231"/>
        <v>2.1854339322998415</v>
      </c>
      <c r="AU131" s="178">
        <f t="shared" si="232"/>
        <v>0.36333969867602695</v>
      </c>
      <c r="AW131" s="5">
        <f t="shared" si="201"/>
        <v>0.87305339024725293</v>
      </c>
      <c r="AX131" s="5">
        <f t="shared" si="202"/>
        <v>0.43652669512362646</v>
      </c>
      <c r="AY131" s="5">
        <f t="shared" si="203"/>
        <v>8.946220775496426E-2</v>
      </c>
      <c r="AZ131" s="5"/>
      <c r="BA131" s="178">
        <f t="shared" si="204"/>
        <v>0.11161254901427428</v>
      </c>
      <c r="BB131" s="178">
        <f t="shared" si="205"/>
        <v>0.29548843082767556</v>
      </c>
      <c r="BC131" s="178">
        <f t="shared" si="206"/>
        <v>0.14774421541383778</v>
      </c>
      <c r="BD131" s="178"/>
      <c r="BE131" s="545">
        <f t="shared" si="207"/>
        <v>4.3600763841123219E-3</v>
      </c>
      <c r="BF131" s="545">
        <f t="shared" si="208"/>
        <v>3.2303494495860764E-2</v>
      </c>
      <c r="BG131" s="545">
        <f t="shared" si="209"/>
        <v>3.6414982164090382E-3</v>
      </c>
      <c r="BH131" s="545">
        <f t="shared" si="210"/>
        <v>3.0955793697978608E-2</v>
      </c>
      <c r="BI131">
        <f t="shared" si="211"/>
        <v>6.2640000000000005E-3</v>
      </c>
      <c r="BK131" s="471">
        <f t="shared" si="212"/>
        <v>77.524862794360729</v>
      </c>
      <c r="BL131" s="178">
        <f t="shared" si="213"/>
        <v>2.52E-2</v>
      </c>
      <c r="BM131" s="178">
        <f t="shared" si="214"/>
        <v>1.26E-2</v>
      </c>
      <c r="BN131" s="545"/>
      <c r="BP131" s="471">
        <f t="shared" si="215"/>
        <v>37.799999999999997</v>
      </c>
      <c r="BQ131" s="545">
        <f t="shared" si="216"/>
        <v>1.183449304259059E-3</v>
      </c>
      <c r="BR131" s="545">
        <f t="shared" si="217"/>
        <v>7.8582071477701805E-3</v>
      </c>
      <c r="BS131" s="545">
        <f t="shared" si="218"/>
        <v>2.1828353188250503E-3</v>
      </c>
      <c r="BT131" s="545">
        <f t="shared" si="219"/>
        <v>4.218793772609245E-3</v>
      </c>
      <c r="BU131" s="545"/>
      <c r="BV131" s="655">
        <f t="shared" si="220"/>
        <v>6.7419738406658773E-3</v>
      </c>
      <c r="BW131" s="471">
        <f t="shared" si="221"/>
        <v>22.185259384129413</v>
      </c>
      <c r="BX131" s="178">
        <f t="shared" si="222"/>
        <v>0.13751012217849015</v>
      </c>
      <c r="BY131" s="5">
        <f t="shared" si="223"/>
        <v>1.512</v>
      </c>
      <c r="BZ131" s="178">
        <f t="shared" si="224"/>
        <v>0.91663578153925962</v>
      </c>
      <c r="CA131" s="5">
        <f t="shared" si="225"/>
        <v>91.663578153925968</v>
      </c>
      <c r="CB131">
        <f t="shared" si="226"/>
        <v>21</v>
      </c>
      <c r="CD131" s="580">
        <f t="shared" si="227"/>
        <v>-50</v>
      </c>
      <c r="CE131">
        <f t="shared" si="228"/>
        <v>-50</v>
      </c>
    </row>
    <row r="132" spans="5:83" x14ac:dyDescent="0.2">
      <c r="E132" s="175">
        <v>22</v>
      </c>
      <c r="F132" s="222">
        <f t="shared" si="229"/>
        <v>8.8000000000000009E-2</v>
      </c>
      <c r="G132" s="222">
        <f t="shared" si="168"/>
        <v>4.4000000000000004E-2</v>
      </c>
      <c r="H132" s="222">
        <f t="shared" si="169"/>
        <v>1.056</v>
      </c>
      <c r="I132" s="222">
        <f t="shared" si="170"/>
        <v>0.52800000000000002</v>
      </c>
      <c r="J132" s="558">
        <f t="shared" si="171"/>
        <v>21.6</v>
      </c>
      <c r="K132" s="453">
        <f t="shared" si="172"/>
        <v>24.5</v>
      </c>
      <c r="L132" s="453">
        <f t="shared" si="173"/>
        <v>46.1</v>
      </c>
      <c r="M132" s="453"/>
      <c r="N132" s="222">
        <f t="shared" si="174"/>
        <v>0.53145336225596529</v>
      </c>
      <c r="O132" s="177">
        <f t="shared" si="175"/>
        <v>5.2709544468546632</v>
      </c>
      <c r="P132" s="177">
        <f t="shared" si="176"/>
        <v>3.9532158351409978</v>
      </c>
      <c r="Q132" s="222">
        <f t="shared" si="177"/>
        <v>0.43924620390455527</v>
      </c>
      <c r="R132" s="222">
        <f t="shared" si="178"/>
        <v>0.43924620390455527</v>
      </c>
      <c r="S132" s="222">
        <f t="shared" si="179"/>
        <v>12</v>
      </c>
      <c r="T132" s="222">
        <f t="shared" si="180"/>
        <v>0.29049767275331184</v>
      </c>
      <c r="U132" s="222">
        <f t="shared" si="181"/>
        <v>1.1297131718184348</v>
      </c>
      <c r="V132" s="222">
        <f t="shared" si="182"/>
        <v>0.9959920208684977</v>
      </c>
      <c r="W132" s="202">
        <f t="shared" si="183"/>
        <v>350</v>
      </c>
      <c r="X132" s="453">
        <f t="shared" si="184"/>
        <v>350</v>
      </c>
      <c r="Z132" s="222">
        <f t="shared" si="185"/>
        <v>0.39045553145336231</v>
      </c>
      <c r="AA132" s="178">
        <f t="shared" si="186"/>
        <v>1.3387046792686708</v>
      </c>
      <c r="AB132" s="178">
        <f t="shared" si="187"/>
        <v>0.12196441763402208</v>
      </c>
      <c r="AC132" s="178"/>
      <c r="AD132" s="178">
        <f t="shared" si="188"/>
        <v>0.99428571428571422</v>
      </c>
      <c r="AE132" s="562">
        <f t="shared" si="189"/>
        <v>305.19223147047177</v>
      </c>
      <c r="AF132" s="545">
        <f t="shared" si="190"/>
        <v>0.10091999999999998</v>
      </c>
      <c r="AH132" s="178">
        <f t="shared" si="191"/>
        <v>0.32826072265931594</v>
      </c>
      <c r="AI132" s="178">
        <f t="shared" si="192"/>
        <v>0.32826072265931594</v>
      </c>
      <c r="AJ132" s="178">
        <f t="shared" si="193"/>
        <v>1.1743955608402696</v>
      </c>
      <c r="AL132" s="562">
        <f t="shared" si="194"/>
        <v>88.000000000000014</v>
      </c>
      <c r="AM132" s="471">
        <f t="shared" si="195"/>
        <v>305.19223147047177</v>
      </c>
      <c r="AO132" s="471">
        <f t="shared" si="196"/>
        <v>88.000000000000014</v>
      </c>
      <c r="AP132" s="471">
        <f t="shared" si="197"/>
        <v>305.19223147047177</v>
      </c>
      <c r="AR132" s="5">
        <f t="shared" si="146"/>
        <v>3.2766233766233754</v>
      </c>
      <c r="AS132" s="5">
        <f t="shared" si="230"/>
        <v>1.2765694770084508</v>
      </c>
      <c r="AT132" s="5">
        <f t="shared" si="231"/>
        <v>2.0000538996149246</v>
      </c>
      <c r="AU132" s="178">
        <f t="shared" si="232"/>
        <v>0.38959908731530218</v>
      </c>
      <c r="AW132" s="5">
        <f t="shared" si="201"/>
        <v>0.93615094980619729</v>
      </c>
      <c r="AX132" s="5">
        <f t="shared" si="202"/>
        <v>0.46807547490309864</v>
      </c>
      <c r="AY132" s="5">
        <f t="shared" si="203"/>
        <v>8.5772291991283306E-2</v>
      </c>
      <c r="AZ132" s="5"/>
      <c r="BA132" s="178">
        <f t="shared" si="204"/>
        <v>0.11829523716626592</v>
      </c>
      <c r="BB132" s="178">
        <f t="shared" si="205"/>
        <v>0.29613918491625307</v>
      </c>
      <c r="BC132" s="178">
        <f t="shared" si="206"/>
        <v>0.14806959245812654</v>
      </c>
      <c r="BD132" s="178"/>
      <c r="BE132" s="545">
        <f t="shared" si="207"/>
        <v>4.8978170976780849E-3</v>
      </c>
      <c r="BF132" s="545">
        <f t="shared" si="208"/>
        <v>3.4638141712954047E-2</v>
      </c>
      <c r="BG132" s="545">
        <f t="shared" si="209"/>
        <v>3.8149028933808973E-3</v>
      </c>
      <c r="BH132" s="545">
        <f t="shared" si="210"/>
        <v>3.2429879112168061E-2</v>
      </c>
      <c r="BI132">
        <f t="shared" si="211"/>
        <v>6.2640000000000005E-3</v>
      </c>
      <c r="BK132" s="471">
        <f t="shared" si="212"/>
        <v>82.044740816181104</v>
      </c>
      <c r="BL132" s="178">
        <f t="shared" si="213"/>
        <v>2.6400000000000003E-2</v>
      </c>
      <c r="BM132" s="178">
        <f t="shared" si="214"/>
        <v>1.3200000000000002E-2</v>
      </c>
      <c r="BN132" s="545"/>
      <c r="BP132" s="471">
        <f t="shared" si="215"/>
        <v>39.6</v>
      </c>
      <c r="BQ132" s="545">
        <f t="shared" si="216"/>
        <v>1.3294074979411947E-3</v>
      </c>
      <c r="BR132" s="545">
        <f t="shared" si="217"/>
        <v>7.8928575158576444E-3</v>
      </c>
      <c r="BS132" s="545">
        <f t="shared" si="218"/>
        <v>2.192460421071568E-3</v>
      </c>
      <c r="BT132" s="545">
        <f t="shared" si="219"/>
        <v>5.0228590826028882E-3</v>
      </c>
      <c r="BU132" s="545"/>
      <c r="BV132" s="655">
        <f t="shared" si="220"/>
        <v>7.3993545099371536E-3</v>
      </c>
      <c r="BW132" s="471">
        <f t="shared" si="221"/>
        <v>23.836939027410452</v>
      </c>
      <c r="BX132" s="178">
        <f t="shared" si="222"/>
        <v>0.14548167984359156</v>
      </c>
      <c r="BY132" s="5">
        <f t="shared" si="223"/>
        <v>1.5840000000000001</v>
      </c>
      <c r="BZ132" s="178">
        <f t="shared" si="224"/>
        <v>0.91588134090165763</v>
      </c>
      <c r="CA132" s="5">
        <f t="shared" si="225"/>
        <v>91.588134090165767</v>
      </c>
      <c r="CB132">
        <f t="shared" si="226"/>
        <v>22</v>
      </c>
      <c r="CD132" s="580">
        <f t="shared" si="227"/>
        <v>-50</v>
      </c>
      <c r="CE132">
        <f t="shared" si="228"/>
        <v>-50</v>
      </c>
    </row>
    <row r="133" spans="5:83" x14ac:dyDescent="0.2">
      <c r="E133" s="175">
        <v>23</v>
      </c>
      <c r="F133" s="222">
        <f t="shared" si="229"/>
        <v>9.2000000000000012E-2</v>
      </c>
      <c r="G133" s="222">
        <f t="shared" si="168"/>
        <v>4.6000000000000006E-2</v>
      </c>
      <c r="H133" s="222">
        <f t="shared" si="169"/>
        <v>1.1040000000000001</v>
      </c>
      <c r="I133" s="222">
        <f t="shared" si="170"/>
        <v>0.55200000000000005</v>
      </c>
      <c r="J133" s="558">
        <f t="shared" si="171"/>
        <v>21.6</v>
      </c>
      <c r="K133" s="453">
        <f t="shared" si="172"/>
        <v>24.5</v>
      </c>
      <c r="L133" s="453">
        <f t="shared" si="173"/>
        <v>46.1</v>
      </c>
      <c r="M133" s="453"/>
      <c r="N133" s="222">
        <f t="shared" si="174"/>
        <v>0.53145336225596529</v>
      </c>
      <c r="O133" s="177">
        <f t="shared" si="175"/>
        <v>5.2709544468546632</v>
      </c>
      <c r="P133" s="177">
        <f t="shared" si="176"/>
        <v>3.9532158351409978</v>
      </c>
      <c r="Q133" s="222">
        <f t="shared" si="177"/>
        <v>0.43924620390455527</v>
      </c>
      <c r="R133" s="222">
        <f t="shared" si="178"/>
        <v>0.43924620390455527</v>
      </c>
      <c r="S133" s="222">
        <f t="shared" si="179"/>
        <v>12</v>
      </c>
      <c r="T133" s="222">
        <f t="shared" si="180"/>
        <v>0.30370211242391698</v>
      </c>
      <c r="U133" s="222">
        <f t="shared" si="181"/>
        <v>1.1810637705374547</v>
      </c>
      <c r="V133" s="222">
        <f t="shared" si="182"/>
        <v>1.0412643854534296</v>
      </c>
      <c r="W133" s="202">
        <f t="shared" si="183"/>
        <v>350</v>
      </c>
      <c r="X133" s="453">
        <f t="shared" si="184"/>
        <v>350</v>
      </c>
      <c r="Z133" s="222">
        <f t="shared" si="185"/>
        <v>0.39045553145336231</v>
      </c>
      <c r="AA133" s="178">
        <f t="shared" si="186"/>
        <v>1.3387046792686708</v>
      </c>
      <c r="AB133" s="178">
        <f t="shared" si="187"/>
        <v>0.12196441763402208</v>
      </c>
      <c r="AC133" s="178"/>
      <c r="AD133" s="178">
        <f t="shared" si="188"/>
        <v>0.99428571428571422</v>
      </c>
      <c r="AE133" s="562">
        <f t="shared" si="189"/>
        <v>319.06460562822048</v>
      </c>
      <c r="AF133" s="545">
        <f t="shared" si="190"/>
        <v>0.10091999999999998</v>
      </c>
      <c r="AH133" s="178">
        <f t="shared" si="191"/>
        <v>0.3356382892705923</v>
      </c>
      <c r="AI133" s="178">
        <f t="shared" si="192"/>
        <v>0.3356382892705923</v>
      </c>
      <c r="AJ133" s="178">
        <f t="shared" si="193"/>
        <v>1.1823226317875546</v>
      </c>
      <c r="AL133" s="562">
        <f t="shared" si="194"/>
        <v>92.000000000000014</v>
      </c>
      <c r="AM133" s="471">
        <f t="shared" si="195"/>
        <v>319.06460562822048</v>
      </c>
      <c r="AO133" s="471">
        <f t="shared" si="196"/>
        <v>92.000000000000014</v>
      </c>
      <c r="AP133" s="471">
        <f t="shared" si="197"/>
        <v>319.06460562822048</v>
      </c>
      <c r="AR133" s="5">
        <f t="shared" si="146"/>
        <v>3.1341614906832289</v>
      </c>
      <c r="AS133" s="5">
        <f t="shared" si="230"/>
        <v>1.3052600138300809</v>
      </c>
      <c r="AT133" s="5">
        <f t="shared" si="231"/>
        <v>1.828901476853148</v>
      </c>
      <c r="AU133" s="178">
        <f t="shared" si="232"/>
        <v>0.41646227155498039</v>
      </c>
      <c r="AW133" s="5">
        <f t="shared" si="201"/>
        <v>1.0006993439363956</v>
      </c>
      <c r="AX133" s="5">
        <f t="shared" si="202"/>
        <v>0.5003496719681978</v>
      </c>
      <c r="AY133" s="5">
        <f t="shared" si="203"/>
        <v>8.1997532100628462E-2</v>
      </c>
      <c r="AZ133" s="5"/>
      <c r="BA133" s="178">
        <f t="shared" si="204"/>
        <v>0.1250543212303801</v>
      </c>
      <c r="BB133" s="178">
        <f t="shared" si="205"/>
        <v>0.29605700228011606</v>
      </c>
      <c r="BC133" s="178">
        <f t="shared" si="206"/>
        <v>0.14802850114005803</v>
      </c>
      <c r="BD133" s="178"/>
      <c r="BE133" s="545">
        <f t="shared" si="207"/>
        <v>5.4735041404368823E-3</v>
      </c>
      <c r="BF133" s="545">
        <f t="shared" si="208"/>
        <v>3.7026470671748871E-2</v>
      </c>
      <c r="BG133" s="545">
        <f t="shared" si="209"/>
        <v>3.9883075703527563E-3</v>
      </c>
      <c r="BH133" s="545">
        <f t="shared" si="210"/>
        <v>3.3903964526357522E-2</v>
      </c>
      <c r="BI133">
        <f t="shared" si="211"/>
        <v>6.2640000000000005E-3</v>
      </c>
      <c r="BK133" s="471">
        <f t="shared" si="212"/>
        <v>86.656246908896037</v>
      </c>
      <c r="BL133" s="178">
        <f t="shared" si="213"/>
        <v>2.7600000000000003E-2</v>
      </c>
      <c r="BM133" s="178">
        <f t="shared" si="214"/>
        <v>1.3800000000000002E-2</v>
      </c>
      <c r="BN133" s="545"/>
      <c r="BP133" s="471">
        <f t="shared" si="215"/>
        <v>41.400000000000006</v>
      </c>
      <c r="BQ133" s="545">
        <f t="shared" si="216"/>
        <v>1.4856654095471539E-3</v>
      </c>
      <c r="BR133" s="545">
        <f t="shared" si="217"/>
        <v>7.8884773739179778E-3</v>
      </c>
      <c r="BS133" s="545">
        <f t="shared" si="218"/>
        <v>2.1912437149772162E-3</v>
      </c>
      <c r="BT133" s="545">
        <f t="shared" si="219"/>
        <v>5.9339697231318199E-3</v>
      </c>
      <c r="BU133" s="545"/>
      <c r="BV133" s="655">
        <f t="shared" si="220"/>
        <v>8.087311024290814E-3</v>
      </c>
      <c r="BW133" s="471">
        <f t="shared" si="221"/>
        <v>25.58666724586498</v>
      </c>
      <c r="BX133" s="178">
        <f t="shared" si="222"/>
        <v>0.153642914154761</v>
      </c>
      <c r="BY133" s="5">
        <f t="shared" si="223"/>
        <v>1.6560000000000001</v>
      </c>
      <c r="BZ133" s="178">
        <f t="shared" si="224"/>
        <v>0.91509766211168586</v>
      </c>
      <c r="CA133" s="5">
        <f t="shared" si="225"/>
        <v>91.509766211168582</v>
      </c>
      <c r="CB133">
        <f t="shared" si="226"/>
        <v>23</v>
      </c>
      <c r="CD133" s="580">
        <f t="shared" si="227"/>
        <v>-50</v>
      </c>
      <c r="CE133">
        <f t="shared" si="228"/>
        <v>-50</v>
      </c>
    </row>
    <row r="134" spans="5:83" x14ac:dyDescent="0.2">
      <c r="E134" s="175">
        <v>24</v>
      </c>
      <c r="F134" s="222">
        <f t="shared" si="229"/>
        <v>9.6000000000000002E-2</v>
      </c>
      <c r="G134" s="222">
        <f t="shared" si="168"/>
        <v>4.8000000000000001E-2</v>
      </c>
      <c r="H134" s="222">
        <f t="shared" si="169"/>
        <v>1.1520000000000001</v>
      </c>
      <c r="I134" s="222">
        <f t="shared" si="170"/>
        <v>0.57600000000000007</v>
      </c>
      <c r="J134" s="558">
        <f t="shared" si="171"/>
        <v>21.6</v>
      </c>
      <c r="K134" s="453">
        <f t="shared" si="172"/>
        <v>24.5</v>
      </c>
      <c r="L134" s="453">
        <f t="shared" si="173"/>
        <v>46.1</v>
      </c>
      <c r="M134" s="453"/>
      <c r="N134" s="222">
        <f t="shared" si="174"/>
        <v>0.53145336225596529</v>
      </c>
      <c r="O134" s="177">
        <f t="shared" si="175"/>
        <v>5.2709544468546632</v>
      </c>
      <c r="P134" s="177">
        <f t="shared" si="176"/>
        <v>3.9532158351409978</v>
      </c>
      <c r="Q134" s="222">
        <f t="shared" si="177"/>
        <v>0.43924620390455527</v>
      </c>
      <c r="R134" s="222">
        <f t="shared" si="178"/>
        <v>0.43924620390455527</v>
      </c>
      <c r="S134" s="222">
        <f t="shared" si="179"/>
        <v>12</v>
      </c>
      <c r="T134" s="222">
        <f t="shared" si="180"/>
        <v>0.31690655209452206</v>
      </c>
      <c r="U134" s="222">
        <f t="shared" si="181"/>
        <v>1.2324143692564746</v>
      </c>
      <c r="V134" s="222">
        <f t="shared" si="182"/>
        <v>1.0865367500383614</v>
      </c>
      <c r="W134" s="202">
        <f t="shared" si="183"/>
        <v>350</v>
      </c>
      <c r="X134" s="453">
        <f t="shared" si="184"/>
        <v>350</v>
      </c>
      <c r="Z134" s="222">
        <f t="shared" si="185"/>
        <v>0.39045553145336231</v>
      </c>
      <c r="AA134" s="178">
        <f t="shared" si="186"/>
        <v>1.3387046792686708</v>
      </c>
      <c r="AB134" s="178">
        <f t="shared" si="187"/>
        <v>0.12196441763402208</v>
      </c>
      <c r="AC134" s="178"/>
      <c r="AD134" s="178">
        <f t="shared" si="188"/>
        <v>0.99428571428571422</v>
      </c>
      <c r="AE134" s="562">
        <f t="shared" si="189"/>
        <v>332.93697978596919</v>
      </c>
      <c r="AF134" s="545">
        <f t="shared" si="190"/>
        <v>0.10091999999999998</v>
      </c>
      <c r="AH134" s="178">
        <f t="shared" si="191"/>
        <v>0.34285714285714292</v>
      </c>
      <c r="AI134" s="178">
        <f t="shared" si="192"/>
        <v>0.34285714285714292</v>
      </c>
      <c r="AJ134" s="178">
        <f t="shared" si="193"/>
        <v>1.1902497027348395</v>
      </c>
      <c r="AL134" s="562">
        <f t="shared" si="194"/>
        <v>96</v>
      </c>
      <c r="AM134" s="471">
        <f t="shared" si="195"/>
        <v>332.93697978596919</v>
      </c>
      <c r="AO134" s="471">
        <f t="shared" si="196"/>
        <v>96</v>
      </c>
      <c r="AP134" s="471">
        <f t="shared" si="197"/>
        <v>332.93697978596919</v>
      </c>
      <c r="AR134" s="5">
        <f t="shared" ref="AR134:AR197" si="233">1/AM134*1000</f>
        <v>3.0035714285714277</v>
      </c>
      <c r="AS134" s="5">
        <f t="shared" si="230"/>
        <v>1.3333333333333335</v>
      </c>
      <c r="AT134" s="5">
        <f t="shared" si="231"/>
        <v>1.6702380952380942</v>
      </c>
      <c r="AU134" s="178">
        <f t="shared" si="232"/>
        <v>0.44391597304795899</v>
      </c>
      <c r="AW134" s="5">
        <f t="shared" si="201"/>
        <v>1.0666666666666669</v>
      </c>
      <c r="AX134" s="5">
        <f t="shared" si="202"/>
        <v>0.53333333333333344</v>
      </c>
      <c r="AY134" s="5">
        <f t="shared" si="203"/>
        <v>7.8139793929267565E-2</v>
      </c>
      <c r="AZ134" s="5"/>
      <c r="BA134" s="178">
        <f t="shared" si="204"/>
        <v>0.13188729482310554</v>
      </c>
      <c r="BB134" s="178">
        <f t="shared" si="205"/>
        <v>0.29522476138448145</v>
      </c>
      <c r="BC134" s="178">
        <f t="shared" si="206"/>
        <v>0.14761238069224072</v>
      </c>
      <c r="BD134" s="178"/>
      <c r="BE134" s="545">
        <f t="shared" si="207"/>
        <v>6.0879904875148659E-3</v>
      </c>
      <c r="BF134" s="545">
        <f t="shared" si="208"/>
        <v>3.9467300832342463E-2</v>
      </c>
      <c r="BG134" s="545">
        <f t="shared" si="209"/>
        <v>4.1617122473246145E-3</v>
      </c>
      <c r="BH134" s="545">
        <f t="shared" si="210"/>
        <v>3.5378049940546975E-2</v>
      </c>
      <c r="BI134">
        <f t="shared" si="211"/>
        <v>6.2640000000000005E-3</v>
      </c>
      <c r="BK134" s="471">
        <f t="shared" si="212"/>
        <v>91.35905350772893</v>
      </c>
      <c r="BL134" s="178">
        <f t="shared" si="213"/>
        <v>2.8799999999999999E-2</v>
      </c>
      <c r="BM134" s="178">
        <f t="shared" si="214"/>
        <v>1.44E-2</v>
      </c>
      <c r="BN134" s="545"/>
      <c r="BP134" s="471">
        <f t="shared" si="215"/>
        <v>43.2</v>
      </c>
      <c r="BQ134" s="545">
        <f t="shared" si="216"/>
        <v>1.6524545608968923E-3</v>
      </c>
      <c r="BR134" s="545">
        <f t="shared" si="217"/>
        <v>7.8441893761071607E-3</v>
      </c>
      <c r="BS134" s="545">
        <f t="shared" si="218"/>
        <v>2.1789414933631002E-3</v>
      </c>
      <c r="BT134" s="545">
        <f t="shared" si="219"/>
        <v>6.9607830392432145E-3</v>
      </c>
      <c r="BU134" s="545"/>
      <c r="BV134" s="655">
        <f t="shared" si="220"/>
        <v>8.8058433837268617E-3</v>
      </c>
      <c r="BW134" s="471">
        <f t="shared" si="221"/>
        <v>27.442211853337227</v>
      </c>
      <c r="BX134" s="178">
        <f t="shared" si="222"/>
        <v>0.16200126536106613</v>
      </c>
      <c r="BY134" s="5">
        <f t="shared" si="223"/>
        <v>1.7280000000000002</v>
      </c>
      <c r="BZ134" s="178">
        <f t="shared" si="224"/>
        <v>0.91428510216890391</v>
      </c>
      <c r="CA134" s="5">
        <f t="shared" si="225"/>
        <v>91.428510216890388</v>
      </c>
      <c r="CB134">
        <f t="shared" si="226"/>
        <v>24</v>
      </c>
      <c r="CD134" s="580">
        <f t="shared" si="227"/>
        <v>-50</v>
      </c>
      <c r="CE134">
        <f t="shared" si="228"/>
        <v>-50</v>
      </c>
    </row>
    <row r="135" spans="5:83" x14ac:dyDescent="0.2">
      <c r="E135" s="175">
        <v>25</v>
      </c>
      <c r="F135" s="222">
        <f t="shared" si="229"/>
        <v>0.1</v>
      </c>
      <c r="G135" s="222">
        <f t="shared" si="168"/>
        <v>0.05</v>
      </c>
      <c r="H135" s="222">
        <f t="shared" si="169"/>
        <v>1.2000000000000002</v>
      </c>
      <c r="I135" s="222">
        <f t="shared" si="170"/>
        <v>0.60000000000000009</v>
      </c>
      <c r="J135" s="558">
        <f t="shared" si="171"/>
        <v>21.6</v>
      </c>
      <c r="K135" s="453">
        <f t="shared" si="172"/>
        <v>24.5</v>
      </c>
      <c r="L135" s="453">
        <f t="shared" si="173"/>
        <v>46.1</v>
      </c>
      <c r="M135" s="453"/>
      <c r="N135" s="222">
        <f t="shared" si="174"/>
        <v>0.53145336225596529</v>
      </c>
      <c r="O135" s="177">
        <f t="shared" si="175"/>
        <v>5.2709544468546632</v>
      </c>
      <c r="P135" s="177">
        <f t="shared" si="176"/>
        <v>3.9532158351409978</v>
      </c>
      <c r="Q135" s="222">
        <f t="shared" si="177"/>
        <v>0.43924620390455527</v>
      </c>
      <c r="R135" s="222">
        <f t="shared" si="178"/>
        <v>0.43924620390455527</v>
      </c>
      <c r="S135" s="222">
        <f t="shared" si="179"/>
        <v>12</v>
      </c>
      <c r="T135" s="222">
        <f t="shared" si="180"/>
        <v>0.33011099176512715</v>
      </c>
      <c r="U135" s="222">
        <f t="shared" si="181"/>
        <v>1.2837649679754943</v>
      </c>
      <c r="V135" s="222">
        <f t="shared" si="182"/>
        <v>1.1318091146232931</v>
      </c>
      <c r="W135" s="202">
        <f t="shared" si="183"/>
        <v>350</v>
      </c>
      <c r="X135" s="453">
        <f t="shared" si="184"/>
        <v>350</v>
      </c>
      <c r="Z135" s="222">
        <f t="shared" si="185"/>
        <v>0.39045553145336231</v>
      </c>
      <c r="AA135" s="178">
        <f t="shared" si="186"/>
        <v>1.3387046792686708</v>
      </c>
      <c r="AB135" s="178">
        <f t="shared" si="187"/>
        <v>0.12196441763402208</v>
      </c>
      <c r="AC135" s="178"/>
      <c r="AD135" s="178">
        <f t="shared" si="188"/>
        <v>0.99428571428571422</v>
      </c>
      <c r="AE135" s="562">
        <f t="shared" si="189"/>
        <v>346.80935394371789</v>
      </c>
      <c r="AF135" s="545">
        <f t="shared" si="190"/>
        <v>0.10091999999999998</v>
      </c>
      <c r="AH135" s="178">
        <f t="shared" si="191"/>
        <v>0.3499271061118826</v>
      </c>
      <c r="AI135" s="178">
        <f t="shared" si="192"/>
        <v>0.3499271061118826</v>
      </c>
      <c r="AJ135" s="178">
        <f t="shared" si="193"/>
        <v>1.1981767736821245</v>
      </c>
      <c r="AL135" s="562">
        <f t="shared" si="194"/>
        <v>100</v>
      </c>
      <c r="AM135" s="471">
        <f t="shared" si="195"/>
        <v>346.80935394371789</v>
      </c>
      <c r="AO135" s="471">
        <f t="shared" si="196"/>
        <v>100</v>
      </c>
      <c r="AP135" s="471">
        <f t="shared" si="197"/>
        <v>346.80935394371789</v>
      </c>
      <c r="AR135" s="5">
        <f t="shared" si="233"/>
        <v>2.8834285714285706</v>
      </c>
      <c r="AS135" s="5">
        <f t="shared" si="230"/>
        <v>1.3608276348795432</v>
      </c>
      <c r="AT135" s="5">
        <f t="shared" si="231"/>
        <v>1.5226009365490274</v>
      </c>
      <c r="AU135" s="178">
        <f t="shared" si="232"/>
        <v>0.47194775288133201</v>
      </c>
      <c r="AW135" s="5">
        <f t="shared" si="201"/>
        <v>1.1340230290662858</v>
      </c>
      <c r="AX135" s="5">
        <f t="shared" si="202"/>
        <v>0.56701151453314291</v>
      </c>
      <c r="AY135" s="5">
        <f t="shared" si="203"/>
        <v>7.4200825367886331E-2</v>
      </c>
      <c r="AZ135" s="5"/>
      <c r="BA135" s="178">
        <f t="shared" si="204"/>
        <v>0.13879183544788629</v>
      </c>
      <c r="BB135" s="178">
        <f t="shared" si="205"/>
        <v>0.2936198422696879</v>
      </c>
      <c r="BC135" s="178">
        <f t="shared" si="206"/>
        <v>0.14680992113484395</v>
      </c>
      <c r="BD135" s="178"/>
      <c r="BE135" s="545">
        <f t="shared" si="207"/>
        <v>6.7421107554475994E-3</v>
      </c>
      <c r="BF135" s="545">
        <f t="shared" si="208"/>
        <v>4.1959526286528138E-2</v>
      </c>
      <c r="BG135" s="545">
        <f t="shared" si="209"/>
        <v>4.3351169242964735E-3</v>
      </c>
      <c r="BH135" s="545">
        <f t="shared" si="210"/>
        <v>3.6852135354736436E-2</v>
      </c>
      <c r="BI135">
        <f t="shared" si="211"/>
        <v>6.2640000000000005E-3</v>
      </c>
      <c r="BK135" s="471">
        <f t="shared" si="212"/>
        <v>96.152889321008644</v>
      </c>
      <c r="BL135" s="178">
        <f t="shared" si="213"/>
        <v>0.03</v>
      </c>
      <c r="BM135" s="178">
        <f t="shared" si="214"/>
        <v>1.4999999999999999E-2</v>
      </c>
      <c r="BN135" s="545"/>
      <c r="BP135" s="471">
        <f t="shared" si="215"/>
        <v>45</v>
      </c>
      <c r="BQ135" s="545">
        <f t="shared" si="216"/>
        <v>1.8300014907643486E-3</v>
      </c>
      <c r="BR135" s="545">
        <f t="shared" si="217"/>
        <v>7.7591350597028767E-3</v>
      </c>
      <c r="BS135" s="545">
        <f t="shared" si="218"/>
        <v>2.1553152943619104E-3</v>
      </c>
      <c r="BT135" s="545">
        <f t="shared" si="219"/>
        <v>8.1122434144214467E-3</v>
      </c>
      <c r="BU135" s="545"/>
      <c r="BV135" s="655">
        <f t="shared" si="220"/>
        <v>9.55495158824529E-3</v>
      </c>
      <c r="BW135" s="471">
        <f t="shared" si="221"/>
        <v>29.41164684749587</v>
      </c>
      <c r="BX135" s="178">
        <f t="shared" si="222"/>
        <v>0.17056453616850456</v>
      </c>
      <c r="BY135" s="5">
        <f t="shared" si="223"/>
        <v>1.8000000000000003</v>
      </c>
      <c r="BZ135" s="178">
        <f t="shared" si="224"/>
        <v>0.91344382128172052</v>
      </c>
      <c r="CA135" s="5">
        <f t="shared" si="225"/>
        <v>91.344382128172057</v>
      </c>
      <c r="CB135">
        <f t="shared" si="226"/>
        <v>25</v>
      </c>
      <c r="CD135" s="580">
        <f t="shared" si="227"/>
        <v>-50</v>
      </c>
      <c r="CE135">
        <f t="shared" si="228"/>
        <v>-50</v>
      </c>
    </row>
    <row r="136" spans="5:83" x14ac:dyDescent="0.2">
      <c r="E136" s="175">
        <v>26</v>
      </c>
      <c r="F136" s="222">
        <f t="shared" si="229"/>
        <v>0.10400000000000001</v>
      </c>
      <c r="G136" s="222">
        <f t="shared" si="168"/>
        <v>5.2000000000000005E-2</v>
      </c>
      <c r="H136" s="222">
        <f t="shared" si="169"/>
        <v>1.2480000000000002</v>
      </c>
      <c r="I136" s="222">
        <f t="shared" si="170"/>
        <v>0.62400000000000011</v>
      </c>
      <c r="J136" s="558">
        <f t="shared" si="171"/>
        <v>21.6</v>
      </c>
      <c r="K136" s="453">
        <f t="shared" si="172"/>
        <v>24.5</v>
      </c>
      <c r="L136" s="453">
        <f t="shared" si="173"/>
        <v>46.1</v>
      </c>
      <c r="M136" s="453"/>
      <c r="N136" s="222">
        <f t="shared" si="174"/>
        <v>0.53145336225596529</v>
      </c>
      <c r="O136" s="177">
        <f t="shared" si="175"/>
        <v>5.2709544468546632</v>
      </c>
      <c r="P136" s="177">
        <f t="shared" si="176"/>
        <v>3.9532158351409978</v>
      </c>
      <c r="Q136" s="222">
        <f t="shared" si="177"/>
        <v>0.43924620390455527</v>
      </c>
      <c r="R136" s="222">
        <f t="shared" si="178"/>
        <v>0.43924620390455527</v>
      </c>
      <c r="S136" s="222">
        <f t="shared" si="179"/>
        <v>12</v>
      </c>
      <c r="T136" s="222">
        <f t="shared" si="180"/>
        <v>0.34331543143573223</v>
      </c>
      <c r="U136" s="222">
        <f t="shared" si="181"/>
        <v>1.3351155666945143</v>
      </c>
      <c r="V136" s="222">
        <f t="shared" si="182"/>
        <v>1.1770814792082247</v>
      </c>
      <c r="W136" s="202">
        <f t="shared" si="183"/>
        <v>350</v>
      </c>
      <c r="X136" s="453">
        <f t="shared" si="184"/>
        <v>350</v>
      </c>
      <c r="Z136" s="222">
        <f t="shared" si="185"/>
        <v>0.39045553145336231</v>
      </c>
      <c r="AA136" s="178">
        <f t="shared" si="186"/>
        <v>1.3387046792686708</v>
      </c>
      <c r="AB136" s="178">
        <f t="shared" si="187"/>
        <v>0.12196441763402208</v>
      </c>
      <c r="AC136" s="178"/>
      <c r="AD136" s="178">
        <f t="shared" si="188"/>
        <v>0.99428571428571422</v>
      </c>
      <c r="AE136" s="562">
        <f t="shared" si="189"/>
        <v>360.6817281014666</v>
      </c>
      <c r="AF136" s="545">
        <f t="shared" si="190"/>
        <v>0.10091999999999998</v>
      </c>
      <c r="AH136" s="178">
        <f t="shared" si="191"/>
        <v>0.35685702847990852</v>
      </c>
      <c r="AI136" s="178">
        <f t="shared" si="192"/>
        <v>0.35685702847990852</v>
      </c>
      <c r="AJ136" s="178">
        <f t="shared" si="193"/>
        <v>1.2495237247999322</v>
      </c>
      <c r="AL136" s="562">
        <f t="shared" si="194"/>
        <v>104.00000000000001</v>
      </c>
      <c r="AM136" s="471">
        <f t="shared" si="195"/>
        <v>350</v>
      </c>
      <c r="AO136" s="471">
        <f t="shared" si="196"/>
        <v>104.00000000000001</v>
      </c>
      <c r="AP136" s="471">
        <f t="shared" si="197"/>
        <v>350</v>
      </c>
      <c r="AR136" s="5">
        <f t="shared" si="233"/>
        <v>2.8571428571428572</v>
      </c>
      <c r="AS136" s="5">
        <f t="shared" si="230"/>
        <v>1.3877773329774219</v>
      </c>
      <c r="AT136" s="5">
        <f t="shared" si="231"/>
        <v>1.4693655241654353</v>
      </c>
      <c r="AU136" s="178">
        <f t="shared" si="232"/>
        <v>0.48572206654209765</v>
      </c>
      <c r="AW136" s="5">
        <f t="shared" si="201"/>
        <v>1.2027403552470992</v>
      </c>
      <c r="AX136" s="5">
        <f t="shared" si="202"/>
        <v>0.60137017762354961</v>
      </c>
      <c r="AY136" s="5">
        <f t="shared" si="203"/>
        <v>7.4470767306630242E-2</v>
      </c>
      <c r="AZ136" s="5"/>
      <c r="BA136" s="178">
        <f t="shared" si="204"/>
        <v>0.14359110728018737</v>
      </c>
      <c r="BB136" s="178">
        <f t="shared" si="205"/>
        <v>0.29550345853736787</v>
      </c>
      <c r="BC136" s="178">
        <f t="shared" si="206"/>
        <v>0.14775172926868393</v>
      </c>
      <c r="BD136" s="178"/>
      <c r="BE136" s="545">
        <f t="shared" si="207"/>
        <v>7.2164421314825974E-3</v>
      </c>
      <c r="BF136" s="545">
        <f t="shared" si="208"/>
        <v>4.3184161158924927E-2</v>
      </c>
      <c r="BG136" s="545">
        <f t="shared" si="209"/>
        <v>4.3749999999999995E-3</v>
      </c>
      <c r="BH136" s="545">
        <f t="shared" si="210"/>
        <v>3.7191175E-2</v>
      </c>
      <c r="BI136">
        <f t="shared" si="211"/>
        <v>6.2640000000000005E-3</v>
      </c>
      <c r="BK136" s="471">
        <f t="shared" si="212"/>
        <v>98.230778290407542</v>
      </c>
      <c r="BL136" s="178">
        <f t="shared" si="213"/>
        <v>3.1200000000000002E-2</v>
      </c>
      <c r="BM136" s="178">
        <f t="shared" si="214"/>
        <v>1.5600000000000001E-2</v>
      </c>
      <c r="BN136" s="545"/>
      <c r="BP136" s="471">
        <f t="shared" si="215"/>
        <v>46.800000000000004</v>
      </c>
      <c r="BQ136" s="545">
        <f t="shared" si="216"/>
        <v>1.9587485785452765E-3</v>
      </c>
      <c r="BR136" s="545">
        <f t="shared" si="217"/>
        <v>7.8590064606791302E-3</v>
      </c>
      <c r="BS136" s="545">
        <f t="shared" si="218"/>
        <v>2.1830573501886471E-3</v>
      </c>
      <c r="BT136" s="545">
        <f t="shared" si="219"/>
        <v>8.7171747512890634E-3</v>
      </c>
      <c r="BU136" s="545"/>
      <c r="BV136" s="655">
        <f t="shared" si="220"/>
        <v>1.0028571428571432E-2</v>
      </c>
      <c r="BW136" s="471">
        <f t="shared" si="221"/>
        <v>30.746558569273549</v>
      </c>
      <c r="BX136" s="178">
        <f t="shared" si="222"/>
        <v>0.17577733685968108</v>
      </c>
      <c r="BY136" s="5">
        <f t="shared" si="223"/>
        <v>1.8720000000000003</v>
      </c>
      <c r="BZ136" s="178">
        <f t="shared" si="224"/>
        <v>0.91416188972515922</v>
      </c>
      <c r="CA136" s="5">
        <f t="shared" si="225"/>
        <v>91.416188972515926</v>
      </c>
      <c r="CB136">
        <f t="shared" si="226"/>
        <v>26</v>
      </c>
      <c r="CD136" s="580">
        <f t="shared" si="227"/>
        <v>-50</v>
      </c>
      <c r="CE136">
        <f t="shared" si="228"/>
        <v>-50</v>
      </c>
    </row>
    <row r="137" spans="5:83" x14ac:dyDescent="0.2">
      <c r="E137" s="175">
        <v>27</v>
      </c>
      <c r="F137" s="222">
        <f t="shared" si="229"/>
        <v>0.10800000000000001</v>
      </c>
      <c r="G137" s="222">
        <f t="shared" si="168"/>
        <v>5.4000000000000006E-2</v>
      </c>
      <c r="H137" s="222">
        <f t="shared" si="169"/>
        <v>1.2960000000000003</v>
      </c>
      <c r="I137" s="222">
        <f t="shared" si="170"/>
        <v>0.64800000000000013</v>
      </c>
      <c r="J137" s="558">
        <f t="shared" si="171"/>
        <v>21.6</v>
      </c>
      <c r="K137" s="453">
        <f t="shared" si="172"/>
        <v>24.5</v>
      </c>
      <c r="L137" s="453">
        <f t="shared" si="173"/>
        <v>46.1</v>
      </c>
      <c r="M137" s="453"/>
      <c r="N137" s="222">
        <f t="shared" si="174"/>
        <v>0.53145336225596529</v>
      </c>
      <c r="O137" s="177">
        <f t="shared" si="175"/>
        <v>5.2709544468546632</v>
      </c>
      <c r="P137" s="177">
        <f t="shared" si="176"/>
        <v>3.9532158351409978</v>
      </c>
      <c r="Q137" s="222">
        <f t="shared" si="177"/>
        <v>0.43924620390455527</v>
      </c>
      <c r="R137" s="222">
        <f t="shared" si="178"/>
        <v>0.43924620390455527</v>
      </c>
      <c r="S137" s="222">
        <f t="shared" si="179"/>
        <v>12</v>
      </c>
      <c r="T137" s="222">
        <f t="shared" si="180"/>
        <v>0.35651987110633732</v>
      </c>
      <c r="U137" s="222">
        <f t="shared" si="181"/>
        <v>1.386466165413534</v>
      </c>
      <c r="V137" s="222">
        <f t="shared" si="182"/>
        <v>1.2223538437931565</v>
      </c>
      <c r="W137" s="202">
        <f t="shared" si="183"/>
        <v>350</v>
      </c>
      <c r="X137" s="453">
        <f t="shared" si="184"/>
        <v>350</v>
      </c>
      <c r="Z137" s="222">
        <f t="shared" si="185"/>
        <v>0.39045553145336231</v>
      </c>
      <c r="AA137" s="178">
        <f t="shared" si="186"/>
        <v>1.3387046792686708</v>
      </c>
      <c r="AB137" s="178">
        <f t="shared" si="187"/>
        <v>0.12196441763402208</v>
      </c>
      <c r="AC137" s="178"/>
      <c r="AD137" s="178">
        <f t="shared" si="188"/>
        <v>0.99428571428571422</v>
      </c>
      <c r="AE137" s="562">
        <f t="shared" si="189"/>
        <v>374.55410225921537</v>
      </c>
      <c r="AF137" s="545">
        <f t="shared" si="190"/>
        <v>0.10091999999999998</v>
      </c>
      <c r="AH137" s="178">
        <f t="shared" si="191"/>
        <v>0.36365491603879591</v>
      </c>
      <c r="AI137" s="178">
        <f t="shared" si="192"/>
        <v>0.36365491603879591</v>
      </c>
      <c r="AJ137" s="178">
        <f t="shared" si="193"/>
        <v>1.2545591970657748</v>
      </c>
      <c r="AL137" s="562">
        <f t="shared" si="194"/>
        <v>108.00000000000001</v>
      </c>
      <c r="AM137" s="471">
        <f t="shared" si="195"/>
        <v>350</v>
      </c>
      <c r="AO137" s="471">
        <f t="shared" si="196"/>
        <v>108.00000000000001</v>
      </c>
      <c r="AP137" s="471">
        <f t="shared" si="197"/>
        <v>350</v>
      </c>
      <c r="AR137" s="5">
        <f t="shared" si="233"/>
        <v>2.8571428571428572</v>
      </c>
      <c r="AS137" s="5">
        <f t="shared" si="230"/>
        <v>1.4142135623730951</v>
      </c>
      <c r="AT137" s="5">
        <f t="shared" si="231"/>
        <v>1.4429292947697621</v>
      </c>
      <c r="AU137" s="178">
        <f t="shared" si="232"/>
        <v>0.49497474683058329</v>
      </c>
      <c r="AW137" s="5">
        <f t="shared" si="201"/>
        <v>1.2727922061357859</v>
      </c>
      <c r="AX137" s="5">
        <f t="shared" si="202"/>
        <v>0.63639610306789296</v>
      </c>
      <c r="AY137" s="5">
        <f t="shared" si="203"/>
        <v>7.5943647093145383E-2</v>
      </c>
      <c r="AZ137" s="5"/>
      <c r="BA137" s="178">
        <f t="shared" si="204"/>
        <v>0.14771355713788684</v>
      </c>
      <c r="BB137" s="178">
        <f t="shared" si="205"/>
        <v>0.29841137840728177</v>
      </c>
      <c r="BC137" s="178">
        <f t="shared" si="206"/>
        <v>0.14920568920364088</v>
      </c>
      <c r="BD137" s="178"/>
      <c r="BE137" s="545">
        <f t="shared" si="207"/>
        <v>7.636753236814715E-3</v>
      </c>
      <c r="BF137" s="545">
        <f t="shared" si="208"/>
        <v>4.4006790527144783E-2</v>
      </c>
      <c r="BG137" s="545">
        <f t="shared" si="209"/>
        <v>4.3749999999999995E-3</v>
      </c>
      <c r="BH137" s="545">
        <f t="shared" si="210"/>
        <v>3.7191175E-2</v>
      </c>
      <c r="BI137">
        <f t="shared" si="211"/>
        <v>6.2640000000000005E-3</v>
      </c>
      <c r="BK137" s="471">
        <f t="shared" si="212"/>
        <v>99.473718763959511</v>
      </c>
      <c r="BL137" s="178">
        <f t="shared" si="213"/>
        <v>3.2400000000000005E-2</v>
      </c>
      <c r="BM137" s="178">
        <f t="shared" si="214"/>
        <v>1.6200000000000003E-2</v>
      </c>
      <c r="BN137" s="545"/>
      <c r="BP137" s="471">
        <f t="shared" si="215"/>
        <v>48.6</v>
      </c>
      <c r="BQ137" s="545">
        <f t="shared" si="216"/>
        <v>2.0728330214211371E-3</v>
      </c>
      <c r="BR137" s="545">
        <f t="shared" si="217"/>
        <v>8.0144415686640522E-3</v>
      </c>
      <c r="BS137" s="545">
        <f t="shared" si="218"/>
        <v>2.2262337690733477E-3</v>
      </c>
      <c r="BT137" s="545">
        <f t="shared" si="219"/>
        <v>9.1382655161999261E-3</v>
      </c>
      <c r="BU137" s="545"/>
      <c r="BV137" s="655">
        <f t="shared" si="220"/>
        <v>1.0414285714285716E-2</v>
      </c>
      <c r="BW137" s="471">
        <f t="shared" si="221"/>
        <v>31.866059589644184</v>
      </c>
      <c r="BX137" s="178">
        <f t="shared" si="222"/>
        <v>0.17993977835360367</v>
      </c>
      <c r="BY137" s="5">
        <f t="shared" si="223"/>
        <v>1.9440000000000004</v>
      </c>
      <c r="BZ137" s="178">
        <f t="shared" si="224"/>
        <v>0.91528018817318535</v>
      </c>
      <c r="CA137" s="5">
        <f t="shared" si="225"/>
        <v>91.528018817318539</v>
      </c>
      <c r="CB137">
        <f t="shared" si="226"/>
        <v>27</v>
      </c>
      <c r="CD137" s="580">
        <f t="shared" si="227"/>
        <v>-50</v>
      </c>
      <c r="CE137">
        <f t="shared" si="228"/>
        <v>-50</v>
      </c>
    </row>
    <row r="138" spans="5:83" x14ac:dyDescent="0.2">
      <c r="E138" s="175">
        <v>28</v>
      </c>
      <c r="F138" s="222">
        <f t="shared" si="229"/>
        <v>0.11200000000000002</v>
      </c>
      <c r="G138" s="222">
        <f t="shared" si="168"/>
        <v>5.6000000000000008E-2</v>
      </c>
      <c r="H138" s="222">
        <f t="shared" si="169"/>
        <v>1.3440000000000003</v>
      </c>
      <c r="I138" s="222">
        <f t="shared" si="170"/>
        <v>0.67200000000000015</v>
      </c>
      <c r="J138" s="558">
        <f t="shared" si="171"/>
        <v>21.6</v>
      </c>
      <c r="K138" s="453">
        <f t="shared" si="172"/>
        <v>24.5</v>
      </c>
      <c r="L138" s="453">
        <f t="shared" si="173"/>
        <v>46.1</v>
      </c>
      <c r="M138" s="453"/>
      <c r="N138" s="222">
        <f t="shared" si="174"/>
        <v>0.53145336225596529</v>
      </c>
      <c r="O138" s="177">
        <f t="shared" si="175"/>
        <v>5.2709544468546632</v>
      </c>
      <c r="P138" s="177">
        <f t="shared" si="176"/>
        <v>3.9532158351409978</v>
      </c>
      <c r="Q138" s="222">
        <f t="shared" si="177"/>
        <v>0.43924620390455527</v>
      </c>
      <c r="R138" s="222">
        <f t="shared" si="178"/>
        <v>0.43924620390455527</v>
      </c>
      <c r="S138" s="222">
        <f t="shared" si="179"/>
        <v>12</v>
      </c>
      <c r="T138" s="222">
        <f t="shared" si="180"/>
        <v>0.36972431077694246</v>
      </c>
      <c r="U138" s="222">
        <f t="shared" si="181"/>
        <v>1.4378167641325537</v>
      </c>
      <c r="V138" s="222">
        <f t="shared" si="182"/>
        <v>1.267626208378088</v>
      </c>
      <c r="W138" s="202">
        <f t="shared" si="183"/>
        <v>350</v>
      </c>
      <c r="X138" s="453">
        <f t="shared" si="184"/>
        <v>350</v>
      </c>
      <c r="Z138" s="222">
        <f t="shared" si="185"/>
        <v>0.39045553145336231</v>
      </c>
      <c r="AA138" s="178">
        <f t="shared" si="186"/>
        <v>1.3387046792686708</v>
      </c>
      <c r="AB138" s="178">
        <f t="shared" si="187"/>
        <v>0.12196441763402208</v>
      </c>
      <c r="AC138" s="178"/>
      <c r="AD138" s="178">
        <f t="shared" si="188"/>
        <v>0.99428571428571422</v>
      </c>
      <c r="AE138" s="562">
        <f t="shared" si="189"/>
        <v>388.42647641696408</v>
      </c>
      <c r="AF138" s="545">
        <f t="shared" si="190"/>
        <v>0.10091999999999998</v>
      </c>
      <c r="AH138" s="178">
        <f t="shared" si="191"/>
        <v>0.37032803990902063</v>
      </c>
      <c r="AI138" s="178">
        <f t="shared" si="192"/>
        <v>0.37032803990902063</v>
      </c>
      <c r="AJ138" s="178">
        <f t="shared" si="193"/>
        <v>1.2595022517844596</v>
      </c>
      <c r="AL138" s="562">
        <f t="shared" si="194"/>
        <v>112.00000000000001</v>
      </c>
      <c r="AM138" s="471">
        <f t="shared" si="195"/>
        <v>350</v>
      </c>
      <c r="AO138" s="471">
        <f t="shared" si="196"/>
        <v>112.00000000000001</v>
      </c>
      <c r="AP138" s="471">
        <f t="shared" si="197"/>
        <v>350</v>
      </c>
      <c r="AR138" s="5">
        <f t="shared" si="233"/>
        <v>2.8571428571428572</v>
      </c>
      <c r="AS138" s="5">
        <f t="shared" si="230"/>
        <v>1.4401645996461914</v>
      </c>
      <c r="AT138" s="5">
        <f t="shared" si="231"/>
        <v>1.4169782574966658</v>
      </c>
      <c r="AU138" s="178">
        <f t="shared" si="232"/>
        <v>0.50405760987616699</v>
      </c>
      <c r="AW138" s="5">
        <f t="shared" si="201"/>
        <v>1.3441536263364455</v>
      </c>
      <c r="AX138" s="5">
        <f t="shared" si="202"/>
        <v>0.67207681316822276</v>
      </c>
      <c r="AY138" s="5">
        <f t="shared" si="203"/>
        <v>7.7339943878960329E-2</v>
      </c>
      <c r="AZ138" s="5"/>
      <c r="BA138" s="178">
        <f t="shared" si="204"/>
        <v>0.15179800260325912</v>
      </c>
      <c r="BB138" s="178">
        <f t="shared" si="205"/>
        <v>0.3011421732002787</v>
      </c>
      <c r="BC138" s="178">
        <f t="shared" si="206"/>
        <v>0.15057108660013935</v>
      </c>
      <c r="BD138" s="178"/>
      <c r="BE138" s="545">
        <f t="shared" si="207"/>
        <v>8.0649217580186713E-3</v>
      </c>
      <c r="BF138" s="545">
        <f t="shared" si="208"/>
        <v>4.4814321929490357E-2</v>
      </c>
      <c r="BG138" s="545">
        <f t="shared" si="209"/>
        <v>4.3749999999999995E-3</v>
      </c>
      <c r="BH138" s="545">
        <f t="shared" si="210"/>
        <v>3.7191175E-2</v>
      </c>
      <c r="BI138">
        <f t="shared" si="211"/>
        <v>6.2640000000000005E-3</v>
      </c>
      <c r="BK138" s="471">
        <f t="shared" si="212"/>
        <v>100.70941868750903</v>
      </c>
      <c r="BL138" s="178">
        <f t="shared" si="213"/>
        <v>3.3600000000000005E-2</v>
      </c>
      <c r="BM138" s="178">
        <f t="shared" si="214"/>
        <v>1.6800000000000002E-2</v>
      </c>
      <c r="BN138" s="545"/>
      <c r="BP138" s="471">
        <f t="shared" si="215"/>
        <v>50.400000000000006</v>
      </c>
      <c r="BQ138" s="545">
        <f t="shared" si="216"/>
        <v>2.1890501914622112E-3</v>
      </c>
      <c r="BR138" s="545">
        <f t="shared" si="217"/>
        <v>8.1617947631807981E-3</v>
      </c>
      <c r="BS138" s="545">
        <f t="shared" si="218"/>
        <v>2.2671652119946664E-3</v>
      </c>
      <c r="BT138" s="545">
        <f t="shared" si="219"/>
        <v>9.5632741640053094E-3</v>
      </c>
      <c r="BU138" s="545"/>
      <c r="BV138" s="655">
        <f t="shared" si="220"/>
        <v>1.0800000000000006E-2</v>
      </c>
      <c r="BW138" s="471">
        <f t="shared" si="221"/>
        <v>32.981284330642993</v>
      </c>
      <c r="BX138" s="178">
        <f t="shared" si="222"/>
        <v>0.18409070301815203</v>
      </c>
      <c r="BY138" s="5">
        <f t="shared" si="223"/>
        <v>2.0160000000000005</v>
      </c>
      <c r="BZ138" s="178">
        <f t="shared" si="224"/>
        <v>0.91632585749050677</v>
      </c>
      <c r="CA138" s="5">
        <f t="shared" si="225"/>
        <v>91.632585749050676</v>
      </c>
      <c r="CB138">
        <f t="shared" si="226"/>
        <v>28.000000000000004</v>
      </c>
      <c r="CD138" s="580">
        <f t="shared" si="227"/>
        <v>-50</v>
      </c>
      <c r="CE138">
        <f t="shared" si="228"/>
        <v>-50</v>
      </c>
    </row>
    <row r="139" spans="5:83" x14ac:dyDescent="0.2">
      <c r="E139" s="175">
        <v>29</v>
      </c>
      <c r="F139" s="222">
        <f t="shared" si="229"/>
        <v>0.11599999999999999</v>
      </c>
      <c r="G139" s="222">
        <f t="shared" si="168"/>
        <v>5.7999999999999996E-2</v>
      </c>
      <c r="H139" s="222">
        <f t="shared" si="169"/>
        <v>1.3919999999999999</v>
      </c>
      <c r="I139" s="222">
        <f t="shared" si="170"/>
        <v>0.69599999999999995</v>
      </c>
      <c r="J139" s="558">
        <f t="shared" si="171"/>
        <v>21.6</v>
      </c>
      <c r="K139" s="453">
        <f t="shared" si="172"/>
        <v>24.5</v>
      </c>
      <c r="L139" s="453">
        <f t="shared" si="173"/>
        <v>46.1</v>
      </c>
      <c r="M139" s="453"/>
      <c r="N139" s="222">
        <f t="shared" si="174"/>
        <v>0.53145336225596529</v>
      </c>
      <c r="O139" s="177">
        <f t="shared" si="175"/>
        <v>5.2709544468546632</v>
      </c>
      <c r="P139" s="177">
        <f t="shared" si="176"/>
        <v>3.9532158351409978</v>
      </c>
      <c r="Q139" s="222">
        <f t="shared" si="177"/>
        <v>0.43924620390455527</v>
      </c>
      <c r="R139" s="222">
        <f t="shared" si="178"/>
        <v>0.43924620390455527</v>
      </c>
      <c r="S139" s="222">
        <f t="shared" si="179"/>
        <v>12</v>
      </c>
      <c r="T139" s="222">
        <f t="shared" si="180"/>
        <v>0.38292875044754743</v>
      </c>
      <c r="U139" s="222">
        <f t="shared" si="181"/>
        <v>1.4891673628515731</v>
      </c>
      <c r="V139" s="222">
        <f t="shared" si="182"/>
        <v>1.3128985729630198</v>
      </c>
      <c r="W139" s="202">
        <f t="shared" si="183"/>
        <v>350</v>
      </c>
      <c r="X139" s="453">
        <f t="shared" si="184"/>
        <v>350</v>
      </c>
      <c r="Z139" s="222">
        <f t="shared" si="185"/>
        <v>0.39045553145336231</v>
      </c>
      <c r="AA139" s="178">
        <f t="shared" si="186"/>
        <v>1.3387046792686708</v>
      </c>
      <c r="AB139" s="178">
        <f t="shared" si="187"/>
        <v>0.12196441763402208</v>
      </c>
      <c r="AC139" s="178"/>
      <c r="AD139" s="178">
        <f t="shared" si="188"/>
        <v>0.99428571428571422</v>
      </c>
      <c r="AE139" s="562">
        <f t="shared" si="189"/>
        <v>402.29885057471273</v>
      </c>
      <c r="AF139" s="545">
        <f t="shared" si="190"/>
        <v>0.10091999999999998</v>
      </c>
      <c r="AH139" s="178">
        <f t="shared" si="191"/>
        <v>0.3768830273792263</v>
      </c>
      <c r="AI139" s="178">
        <f t="shared" si="192"/>
        <v>0.3768830273792263</v>
      </c>
      <c r="AJ139" s="178">
        <f t="shared" si="193"/>
        <v>1.2643577980586862</v>
      </c>
      <c r="AL139" s="562">
        <f t="shared" si="194"/>
        <v>115.99999999999999</v>
      </c>
      <c r="AM139" s="471">
        <f t="shared" si="195"/>
        <v>350</v>
      </c>
      <c r="AO139" s="471">
        <f t="shared" si="196"/>
        <v>115.99999999999999</v>
      </c>
      <c r="AP139" s="471">
        <f t="shared" si="197"/>
        <v>350</v>
      </c>
      <c r="AR139" s="5">
        <f t="shared" si="233"/>
        <v>2.8571428571428572</v>
      </c>
      <c r="AS139" s="5">
        <f t="shared" si="230"/>
        <v>1.4656562175858798</v>
      </c>
      <c r="AT139" s="5">
        <f t="shared" si="231"/>
        <v>1.3914866395569774</v>
      </c>
      <c r="AU139" s="178">
        <f t="shared" si="232"/>
        <v>0.51297967615505791</v>
      </c>
      <c r="AW139" s="5">
        <f t="shared" si="201"/>
        <v>1.4168010103330171</v>
      </c>
      <c r="AX139" s="5">
        <f t="shared" si="202"/>
        <v>0.70840050516650854</v>
      </c>
      <c r="AY139" s="5">
        <f t="shared" si="203"/>
        <v>7.8661038103610789E-2</v>
      </c>
      <c r="AZ139" s="5"/>
      <c r="BA139" s="178">
        <f t="shared" si="204"/>
        <v>0.15584613347784596</v>
      </c>
      <c r="BB139" s="178">
        <f t="shared" si="205"/>
        <v>0.3037032858269112</v>
      </c>
      <c r="BC139" s="178">
        <f t="shared" si="206"/>
        <v>0.1518516429134556</v>
      </c>
      <c r="BD139" s="178"/>
      <c r="BE139" s="545">
        <f t="shared" si="207"/>
        <v>8.5008060619981025E-3</v>
      </c>
      <c r="BF139" s="545">
        <f t="shared" si="208"/>
        <v>4.5607557350728627E-2</v>
      </c>
      <c r="BG139" s="545">
        <f t="shared" si="209"/>
        <v>4.3749999999999995E-3</v>
      </c>
      <c r="BH139" s="545">
        <f t="shared" si="210"/>
        <v>3.7191175E-2</v>
      </c>
      <c r="BI139">
        <f t="shared" si="211"/>
        <v>6.2640000000000005E-3</v>
      </c>
      <c r="BK139" s="471">
        <f t="shared" si="212"/>
        <v>101.93853841272673</v>
      </c>
      <c r="BL139" s="178">
        <f t="shared" si="213"/>
        <v>3.4799999999999998E-2</v>
      </c>
      <c r="BM139" s="178">
        <f t="shared" si="214"/>
        <v>1.7399999999999999E-2</v>
      </c>
      <c r="BN139" s="545"/>
      <c r="BP139" s="471">
        <f t="shared" si="215"/>
        <v>52.199999999999996</v>
      </c>
      <c r="BQ139" s="545">
        <f t="shared" si="216"/>
        <v>2.3073616453994851E-3</v>
      </c>
      <c r="BR139" s="545">
        <f t="shared" si="217"/>
        <v>8.301211723985626E-3</v>
      </c>
      <c r="BS139" s="545">
        <f t="shared" si="218"/>
        <v>2.3058921455515629E-3</v>
      </c>
      <c r="BT139" s="545">
        <f t="shared" si="219"/>
        <v>9.9920952356433966E-3</v>
      </c>
      <c r="BU139" s="545"/>
      <c r="BV139" s="655">
        <f t="shared" si="220"/>
        <v>1.1185714285714288E-2</v>
      </c>
      <c r="BW139" s="471">
        <f t="shared" si="221"/>
        <v>34.09227503629436</v>
      </c>
      <c r="BX139" s="178">
        <f t="shared" si="222"/>
        <v>0.18823081344902109</v>
      </c>
      <c r="BY139" s="5">
        <f t="shared" si="223"/>
        <v>2.0880000000000001</v>
      </c>
      <c r="BZ139" s="178">
        <f t="shared" si="224"/>
        <v>0.91730591979650455</v>
      </c>
      <c r="CA139" s="5">
        <f t="shared" si="225"/>
        <v>91.730591979650455</v>
      </c>
      <c r="CB139">
        <f t="shared" si="226"/>
        <v>28.999999999999996</v>
      </c>
      <c r="CD139" s="580">
        <f t="shared" si="227"/>
        <v>-50</v>
      </c>
      <c r="CE139">
        <f t="shared" si="228"/>
        <v>-50</v>
      </c>
    </row>
    <row r="140" spans="5:83" x14ac:dyDescent="0.2">
      <c r="E140" s="175">
        <v>30</v>
      </c>
      <c r="F140" s="222">
        <f t="shared" si="229"/>
        <v>0.12</v>
      </c>
      <c r="G140" s="222">
        <f t="shared" si="168"/>
        <v>0.06</v>
      </c>
      <c r="H140" s="222">
        <f t="shared" si="169"/>
        <v>1.44</v>
      </c>
      <c r="I140" s="222">
        <f t="shared" si="170"/>
        <v>0.72</v>
      </c>
      <c r="J140" s="558">
        <f t="shared" si="171"/>
        <v>21.6</v>
      </c>
      <c r="K140" s="453">
        <f t="shared" si="172"/>
        <v>24.5</v>
      </c>
      <c r="L140" s="453">
        <f t="shared" si="173"/>
        <v>46.1</v>
      </c>
      <c r="M140" s="453"/>
      <c r="N140" s="222">
        <f t="shared" si="174"/>
        <v>0.53145336225596529</v>
      </c>
      <c r="O140" s="177">
        <f t="shared" si="175"/>
        <v>5.2709544468546632</v>
      </c>
      <c r="P140" s="177">
        <f t="shared" si="176"/>
        <v>3.9532158351409978</v>
      </c>
      <c r="Q140" s="222">
        <f t="shared" si="177"/>
        <v>0.43924620390455527</v>
      </c>
      <c r="R140" s="222">
        <f t="shared" si="178"/>
        <v>0.43924620390455527</v>
      </c>
      <c r="S140" s="222">
        <f t="shared" si="179"/>
        <v>12</v>
      </c>
      <c r="T140" s="222">
        <f t="shared" si="180"/>
        <v>0.39613319011815257</v>
      </c>
      <c r="U140" s="222">
        <f t="shared" si="181"/>
        <v>1.5405179615705931</v>
      </c>
      <c r="V140" s="222">
        <f t="shared" si="182"/>
        <v>1.3581709375479514</v>
      </c>
      <c r="W140" s="202">
        <f t="shared" si="183"/>
        <v>350</v>
      </c>
      <c r="X140" s="453">
        <f t="shared" si="184"/>
        <v>344.98355456637233</v>
      </c>
      <c r="Z140" s="222">
        <f t="shared" si="185"/>
        <v>0.39045553145336231</v>
      </c>
      <c r="AA140" s="178">
        <f t="shared" si="186"/>
        <v>1.3387046792686708</v>
      </c>
      <c r="AB140" s="178">
        <f t="shared" si="187"/>
        <v>0.12196441763402208</v>
      </c>
      <c r="AC140" s="178"/>
      <c r="AD140" s="178">
        <f t="shared" si="188"/>
        <v>0.99428571428571422</v>
      </c>
      <c r="AE140" s="562">
        <f t="shared" si="189"/>
        <v>416.17122473246144</v>
      </c>
      <c r="AF140" s="545">
        <f t="shared" si="190"/>
        <v>0.10091999999999998</v>
      </c>
      <c r="AH140" s="178">
        <f t="shared" si="191"/>
        <v>0.38332593899996398</v>
      </c>
      <c r="AI140" s="178">
        <f t="shared" si="192"/>
        <v>0.38332593899996398</v>
      </c>
      <c r="AJ140" s="178">
        <f t="shared" si="193"/>
        <v>1.2691303251851584</v>
      </c>
      <c r="AL140" s="562">
        <f t="shared" si="194"/>
        <v>120</v>
      </c>
      <c r="AM140" s="471">
        <f t="shared" si="195"/>
        <v>344.98355456637233</v>
      </c>
      <c r="AO140" s="471">
        <f t="shared" si="196"/>
        <v>120</v>
      </c>
      <c r="AP140" s="471">
        <f t="shared" si="197"/>
        <v>344.98355456637233</v>
      </c>
      <c r="AR140" s="5">
        <f t="shared" si="233"/>
        <v>2.898688899118544</v>
      </c>
      <c r="AS140" s="5">
        <f t="shared" si="230"/>
        <v>1.4907119849998596</v>
      </c>
      <c r="AT140" s="5">
        <f t="shared" si="231"/>
        <v>1.4079769141186844</v>
      </c>
      <c r="AU140" s="178">
        <f t="shared" si="232"/>
        <v>0.5142711194199443</v>
      </c>
      <c r="AW140" s="5">
        <f t="shared" si="201"/>
        <v>1.4907119849998596</v>
      </c>
      <c r="AX140" s="5">
        <f t="shared" si="202"/>
        <v>0.74535599249992979</v>
      </c>
      <c r="AY140" s="5">
        <f t="shared" si="203"/>
        <v>8.2337831235010761E-2</v>
      </c>
      <c r="AZ140" s="5"/>
      <c r="BA140" s="178">
        <f t="shared" si="204"/>
        <v>0.1587097650512076</v>
      </c>
      <c r="BB140" s="178">
        <f t="shared" si="205"/>
        <v>0.30848534690727325</v>
      </c>
      <c r="BC140" s="178">
        <f t="shared" si="206"/>
        <v>0.15424267345363663</v>
      </c>
      <c r="BD140" s="178"/>
      <c r="BE140" s="545">
        <f t="shared" si="207"/>
        <v>8.8160763329133314E-3</v>
      </c>
      <c r="BF140" s="545">
        <f t="shared" si="208"/>
        <v>4.5722375881571763E-2</v>
      </c>
      <c r="BG140" s="545">
        <f t="shared" si="209"/>
        <v>4.3122944320796537E-3</v>
      </c>
      <c r="BH140" s="545">
        <f t="shared" si="210"/>
        <v>3.6658125000000007E-2</v>
      </c>
      <c r="BI140">
        <f t="shared" si="211"/>
        <v>6.2640000000000005E-3</v>
      </c>
      <c r="BK140" s="471">
        <f t="shared" si="212"/>
        <v>101.77287164656477</v>
      </c>
      <c r="BL140" s="178">
        <f t="shared" si="213"/>
        <v>3.5999999999999997E-2</v>
      </c>
      <c r="BM140" s="178">
        <f t="shared" si="214"/>
        <v>1.7999999999999999E-2</v>
      </c>
      <c r="BN140" s="545"/>
      <c r="BP140" s="471">
        <f t="shared" si="215"/>
        <v>53.999999999999993</v>
      </c>
      <c r="BQ140" s="545">
        <f t="shared" si="216"/>
        <v>2.3929350046479041E-3</v>
      </c>
      <c r="BR140" s="545">
        <f t="shared" si="217"/>
        <v>8.5646888330850653E-3</v>
      </c>
      <c r="BS140" s="545">
        <f t="shared" si="218"/>
        <v>2.3790802314125181E-3</v>
      </c>
      <c r="BT140" s="545">
        <f t="shared" si="219"/>
        <v>1.0055102602322749E-2</v>
      </c>
      <c r="BU140" s="545"/>
      <c r="BV140" s="655">
        <f t="shared" si="220"/>
        <v>1.1405578742806597E-2</v>
      </c>
      <c r="BW140" s="471">
        <f t="shared" si="221"/>
        <v>34.797385414274835</v>
      </c>
      <c r="BX140" s="178">
        <f t="shared" si="222"/>
        <v>0.19057025706083958</v>
      </c>
      <c r="BY140" s="5">
        <f t="shared" si="223"/>
        <v>2.16</v>
      </c>
      <c r="BZ140" s="178">
        <f t="shared" si="224"/>
        <v>0.91892594722987386</v>
      </c>
      <c r="CA140" s="5">
        <f t="shared" si="225"/>
        <v>91.892594722987383</v>
      </c>
      <c r="CB140">
        <f t="shared" si="226"/>
        <v>30</v>
      </c>
      <c r="CD140" s="580">
        <f t="shared" si="227"/>
        <v>-50</v>
      </c>
      <c r="CE140">
        <f t="shared" si="228"/>
        <v>-50</v>
      </c>
    </row>
    <row r="141" spans="5:83" x14ac:dyDescent="0.2">
      <c r="E141" s="175">
        <v>31</v>
      </c>
      <c r="F141" s="222">
        <f t="shared" si="229"/>
        <v>0.124</v>
      </c>
      <c r="G141" s="222">
        <f t="shared" si="168"/>
        <v>6.2E-2</v>
      </c>
      <c r="H141" s="222">
        <f t="shared" si="169"/>
        <v>1.488</v>
      </c>
      <c r="I141" s="222">
        <f t="shared" si="170"/>
        <v>0.74399999999999999</v>
      </c>
      <c r="J141" s="558">
        <f t="shared" si="171"/>
        <v>21.6</v>
      </c>
      <c r="K141" s="453">
        <f t="shared" si="172"/>
        <v>24.5</v>
      </c>
      <c r="L141" s="453">
        <f t="shared" si="173"/>
        <v>46.1</v>
      </c>
      <c r="M141" s="453"/>
      <c r="N141" s="222">
        <f t="shared" si="174"/>
        <v>0.53145336225596529</v>
      </c>
      <c r="O141" s="177">
        <f t="shared" si="175"/>
        <v>5.2709544468546632</v>
      </c>
      <c r="P141" s="177">
        <f t="shared" si="176"/>
        <v>3.9532158351409978</v>
      </c>
      <c r="Q141" s="222">
        <f t="shared" si="177"/>
        <v>0.43924620390455527</v>
      </c>
      <c r="R141" s="222">
        <f t="shared" si="178"/>
        <v>0.43924620390455527</v>
      </c>
      <c r="S141" s="222">
        <f t="shared" si="179"/>
        <v>12</v>
      </c>
      <c r="T141" s="222">
        <f t="shared" si="180"/>
        <v>0.40933762978875765</v>
      </c>
      <c r="U141" s="222">
        <f t="shared" si="181"/>
        <v>1.591868560289613</v>
      </c>
      <c r="V141" s="222">
        <f t="shared" si="182"/>
        <v>1.4034433021328834</v>
      </c>
      <c r="W141" s="202">
        <f t="shared" si="183"/>
        <v>350</v>
      </c>
      <c r="X141" s="453">
        <f t="shared" si="184"/>
        <v>333.85505280616673</v>
      </c>
      <c r="Z141" s="222">
        <f t="shared" si="185"/>
        <v>0.39045553145336231</v>
      </c>
      <c r="AA141" s="178">
        <f t="shared" si="186"/>
        <v>1.3387046792686708</v>
      </c>
      <c r="AB141" s="178">
        <f t="shared" si="187"/>
        <v>0.12196441763402208</v>
      </c>
      <c r="AC141" s="178"/>
      <c r="AD141" s="178">
        <f t="shared" si="188"/>
        <v>0.99428571428571422</v>
      </c>
      <c r="AE141" s="562">
        <f t="shared" si="189"/>
        <v>430.04359889021015</v>
      </c>
      <c r="AF141" s="545">
        <f t="shared" si="190"/>
        <v>0.10091999999999998</v>
      </c>
      <c r="AH141" s="178">
        <f t="shared" si="191"/>
        <v>0.38966233419959589</v>
      </c>
      <c r="AI141" s="178">
        <f t="shared" si="192"/>
        <v>0.40933762978875765</v>
      </c>
      <c r="AJ141" s="178">
        <f t="shared" si="193"/>
        <v>1.2883982442879687</v>
      </c>
      <c r="AL141" s="562">
        <f t="shared" si="194"/>
        <v>124</v>
      </c>
      <c r="AM141" s="471">
        <f t="shared" si="195"/>
        <v>333.85505280616673</v>
      </c>
      <c r="AO141" s="471">
        <f t="shared" si="196"/>
        <v>124</v>
      </c>
      <c r="AP141" s="471">
        <f t="shared" si="197"/>
        <v>333.85505280616673</v>
      </c>
      <c r="AR141" s="5">
        <f t="shared" si="233"/>
        <v>2.9953118624224957</v>
      </c>
      <c r="AS141" s="5">
        <f t="shared" si="230"/>
        <v>1.591868560289613</v>
      </c>
      <c r="AT141" s="5">
        <f t="shared" si="231"/>
        <v>1.4034433021328827</v>
      </c>
      <c r="AU141" s="178">
        <f t="shared" si="232"/>
        <v>0.5314533622559654</v>
      </c>
      <c r="AW141" s="5">
        <f t="shared" si="201"/>
        <v>1.6449308456326002</v>
      </c>
      <c r="AX141" s="5">
        <f t="shared" si="202"/>
        <v>0.82246542281630008</v>
      </c>
      <c r="AY141" s="5">
        <f t="shared" si="203"/>
        <v>8.4808464651304788E-2</v>
      </c>
      <c r="AZ141" s="5"/>
      <c r="BA141" s="178">
        <f t="shared" si="204"/>
        <v>0.17228744187536335</v>
      </c>
      <c r="BB141" s="178">
        <f t="shared" si="205"/>
        <v>0.32353960556570283</v>
      </c>
      <c r="BC141" s="178">
        <f t="shared" si="206"/>
        <v>0.16176980278285141</v>
      </c>
      <c r="BD141" s="178"/>
      <c r="BE141" s="545">
        <f t="shared" si="207"/>
        <v>1.0389036919784846E-2</v>
      </c>
      <c r="BF141" s="545">
        <f t="shared" si="208"/>
        <v>4.725E-2</v>
      </c>
      <c r="BG141" s="545">
        <f t="shared" si="209"/>
        <v>4.173188160077084E-3</v>
      </c>
      <c r="BH141" s="545">
        <f t="shared" si="210"/>
        <v>3.5475604838709679E-2</v>
      </c>
      <c r="BI141">
        <f t="shared" si="211"/>
        <v>6.2640000000000005E-3</v>
      </c>
      <c r="BK141" s="471">
        <f t="shared" si="212"/>
        <v>103.55182991857161</v>
      </c>
      <c r="BL141" s="178">
        <f t="shared" si="213"/>
        <v>3.7199999999999997E-2</v>
      </c>
      <c r="BM141" s="178">
        <f t="shared" si="214"/>
        <v>1.8599999999999998E-2</v>
      </c>
      <c r="BN141" s="545"/>
      <c r="BP141" s="471">
        <f t="shared" si="215"/>
        <v>55.8</v>
      </c>
      <c r="BQ141" s="545">
        <f t="shared" si="216"/>
        <v>2.819881449655887E-3</v>
      </c>
      <c r="BR141" s="545">
        <f t="shared" si="217"/>
        <v>9.4210088732649515E-3</v>
      </c>
      <c r="BS141" s="545">
        <f t="shared" si="218"/>
        <v>2.6169469092402644E-3</v>
      </c>
      <c r="BT141" s="545">
        <f t="shared" si="219"/>
        <v>1.091613918600394E-2</v>
      </c>
      <c r="BU141" s="545"/>
      <c r="BV141" s="655">
        <f t="shared" si="220"/>
        <v>1.2586466165413536E-2</v>
      </c>
      <c r="BW141" s="471">
        <f t="shared" si="221"/>
        <v>38.360442583578575</v>
      </c>
      <c r="BX141" s="178">
        <f t="shared" si="222"/>
        <v>0.19771227250215018</v>
      </c>
      <c r="BY141" s="5">
        <f t="shared" si="223"/>
        <v>2.2320000000000002</v>
      </c>
      <c r="BZ141" s="178">
        <f t="shared" si="224"/>
        <v>0.91862728984838049</v>
      </c>
      <c r="CA141" s="5">
        <f t="shared" si="225"/>
        <v>91.862728984838043</v>
      </c>
      <c r="CB141">
        <f t="shared" si="226"/>
        <v>31</v>
      </c>
      <c r="CD141" s="580">
        <f t="shared" si="227"/>
        <v>-50</v>
      </c>
      <c r="CE141">
        <f t="shared" si="228"/>
        <v>-50</v>
      </c>
    </row>
    <row r="142" spans="5:83" x14ac:dyDescent="0.2">
      <c r="E142" s="175">
        <v>32</v>
      </c>
      <c r="F142" s="222">
        <f t="shared" si="229"/>
        <v>0.128</v>
      </c>
      <c r="G142" s="222">
        <f t="shared" ref="G142:G173" si="234">IF(PLOT_TYPE=1, E142/100*Iout2, min_I*EXP(Q142*rr/100))</f>
        <v>6.4000000000000001E-2</v>
      </c>
      <c r="H142" s="222">
        <f t="shared" ref="H142:H173" si="235">F142*Vout</f>
        <v>1.536</v>
      </c>
      <c r="I142" s="222">
        <f t="shared" ref="I142:I173" si="236">Vout2*G142</f>
        <v>0.76800000000000002</v>
      </c>
      <c r="J142" s="558">
        <f t="shared" si="171"/>
        <v>21.6</v>
      </c>
      <c r="K142" s="453">
        <f t="shared" si="172"/>
        <v>24.5</v>
      </c>
      <c r="L142" s="453">
        <f t="shared" si="173"/>
        <v>46.1</v>
      </c>
      <c r="M142" s="453"/>
      <c r="N142" s="222">
        <f t="shared" si="174"/>
        <v>0.53145336225596529</v>
      </c>
      <c r="O142" s="177">
        <f t="shared" ref="O142:O173" si="237">N142*J142*Isw_max*0.5*Efficiency*Pout/(Pout+Pout2)</f>
        <v>5.2709544468546632</v>
      </c>
      <c r="P142" s="177">
        <f t="shared" ref="P142:P173" si="238">N142*J142*Isw_max*0.5*Efficiency*(Pout2/Pout_total)</f>
        <v>3.9532158351409978</v>
      </c>
      <c r="Q142" s="222">
        <f t="shared" si="177"/>
        <v>0.43924620390455527</v>
      </c>
      <c r="R142" s="222">
        <f t="shared" ref="R142:R173" si="239">O142/Vout2</f>
        <v>0.43924620390455527</v>
      </c>
      <c r="S142" s="222">
        <f t="shared" ref="S142:S173" si="240">MIN(Vout,O142/F142)</f>
        <v>12</v>
      </c>
      <c r="T142" s="222">
        <f t="shared" ref="T142:T173" si="241">MIN(2*(Vout*F142+Vout2*G142)/(Efficiency*J142*N142), Isw_max)</f>
        <v>0.42254206945936273</v>
      </c>
      <c r="U142" s="222">
        <f t="shared" si="181"/>
        <v>1.6432191590086327</v>
      </c>
      <c r="V142" s="222">
        <f t="shared" si="182"/>
        <v>1.4487156667178149</v>
      </c>
      <c r="W142" s="202">
        <f t="shared" si="183"/>
        <v>350</v>
      </c>
      <c r="X142" s="453">
        <f t="shared" si="184"/>
        <v>323.42208240597404</v>
      </c>
      <c r="Z142" s="222">
        <f t="shared" si="185"/>
        <v>0.39045553145336231</v>
      </c>
      <c r="AA142" s="178">
        <f t="shared" si="186"/>
        <v>1.3387046792686708</v>
      </c>
      <c r="AB142" s="178">
        <f t="shared" ref="AB142:AB173" si="242">0.5*AA142*Z142*Nps*W142/1000*(Pout/(Pout+Pout2))</f>
        <v>0.12196441763402208</v>
      </c>
      <c r="AC142" s="178"/>
      <c r="AD142" s="178">
        <f t="shared" si="188"/>
        <v>0.99428571428571422</v>
      </c>
      <c r="AE142" s="562">
        <f t="shared" ref="AE142:AE173" si="243">MAX(10, F142/(0.5*AD142/1000000*Isw_min*Nps)/1000*Pout_total/Pout)</f>
        <v>443.91597304795891</v>
      </c>
      <c r="AF142" s="545">
        <f t="shared" ref="AF142:AF173" si="244">0.5*AD142/1000000*Isw_min*Nps*W142*1000*(Pout/Pout_total)</f>
        <v>0.10091999999999998</v>
      </c>
      <c r="AH142" s="178">
        <f t="shared" ref="AH142:AH173" si="245">SQRT((H142+I142)/(0.5*L*Fsw_DCM))</f>
        <v>0.39589732744431483</v>
      </c>
      <c r="AI142" s="178">
        <f t="shared" ref="AI142:AI173" si="246">MAX(IF(F142&gt;AB142,T142,AH142),Isw_min)</f>
        <v>0.42254206945936273</v>
      </c>
      <c r="AJ142" s="178">
        <f t="shared" ref="AJ142:AJ173" si="247">IF(F142&gt;AF142, (AI142-Isw_min)/1.08*0.8+1.2, AE142*0.2/350+1)</f>
        <v>1.298179310710639</v>
      </c>
      <c r="AL142" s="562">
        <f t="shared" ref="AL142:AL173" si="248">F142*1000</f>
        <v>128</v>
      </c>
      <c r="AM142" s="471">
        <f t="shared" ref="AM142:AM173" si="249">IF(F142&gt;AF142, X142, AE142)</f>
        <v>323.42208240597404</v>
      </c>
      <c r="AO142" s="471">
        <f t="shared" si="196"/>
        <v>128</v>
      </c>
      <c r="AP142" s="471">
        <f t="shared" si="197"/>
        <v>323.42208240597404</v>
      </c>
      <c r="AR142" s="5">
        <f t="shared" si="233"/>
        <v>3.0919348257264474</v>
      </c>
      <c r="AS142" s="5">
        <f t="shared" si="230"/>
        <v>1.6432191590086327</v>
      </c>
      <c r="AT142" s="5">
        <f t="shared" si="231"/>
        <v>1.4487156667178147</v>
      </c>
      <c r="AU142" s="178">
        <f t="shared" si="232"/>
        <v>0.53145336225596529</v>
      </c>
      <c r="AW142" s="5">
        <f t="shared" si="201"/>
        <v>1.7527671029425416</v>
      </c>
      <c r="AX142" s="5">
        <f t="shared" si="202"/>
        <v>0.87638355147127078</v>
      </c>
      <c r="AY142" s="5">
        <f t="shared" si="203"/>
        <v>9.036822872313853E-2</v>
      </c>
      <c r="AZ142" s="5"/>
      <c r="BA142" s="178">
        <f t="shared" si="204"/>
        <v>0.17784510129069764</v>
      </c>
      <c r="BB142" s="178">
        <f t="shared" si="205"/>
        <v>0.33397636703556421</v>
      </c>
      <c r="BC142" s="178">
        <f t="shared" si="206"/>
        <v>0.16698818351778211</v>
      </c>
      <c r="BD142" s="178"/>
      <c r="BE142" s="545">
        <f t="shared" si="207"/>
        <v>1.1070108018584475E-2</v>
      </c>
      <c r="BF142" s="545">
        <f t="shared" si="208"/>
        <v>4.7250000000000007E-2</v>
      </c>
      <c r="BG142" s="545">
        <f t="shared" si="209"/>
        <v>4.0427760300746751E-3</v>
      </c>
      <c r="BH142" s="545">
        <f t="shared" si="210"/>
        <v>3.4366992187500001E-2</v>
      </c>
      <c r="BI142">
        <f t="shared" si="211"/>
        <v>6.2640000000000005E-3</v>
      </c>
      <c r="BK142" s="471">
        <f t="shared" si="212"/>
        <v>102.99387623615917</v>
      </c>
      <c r="BL142" s="178">
        <f t="shared" si="213"/>
        <v>3.8399999999999997E-2</v>
      </c>
      <c r="BM142" s="178">
        <f t="shared" si="214"/>
        <v>1.9199999999999998E-2</v>
      </c>
      <c r="BN142" s="545"/>
      <c r="BP142" s="471">
        <f t="shared" si="215"/>
        <v>57.6</v>
      </c>
      <c r="BQ142" s="545">
        <f t="shared" si="216"/>
        <v>3.0047436050443578E-3</v>
      </c>
      <c r="BR142" s="545">
        <f t="shared" si="217"/>
        <v>1.0038619236444651E-2</v>
      </c>
      <c r="BS142" s="545">
        <f t="shared" si="218"/>
        <v>2.7885053434568477E-3</v>
      </c>
      <c r="BT142" s="545">
        <f t="shared" si="219"/>
        <v>1.0916139186003955E-2</v>
      </c>
      <c r="BU142" s="545"/>
      <c r="BV142" s="655">
        <f t="shared" ref="BV142:BV173" si="250">0.5*Lleak*0.000000001*AI142^2*AM142*1000</f>
        <v>1.2992481203007524E-2</v>
      </c>
      <c r="BW142" s="471">
        <f t="shared" si="221"/>
        <v>39.740488573957329</v>
      </c>
      <c r="BX142" s="178">
        <f t="shared" si="222"/>
        <v>0.20033436481011649</v>
      </c>
      <c r="BY142" s="5">
        <f t="shared" si="223"/>
        <v>2.3040000000000003</v>
      </c>
      <c r="BZ142" s="178">
        <f t="shared" si="224"/>
        <v>0.92000494517619802</v>
      </c>
      <c r="CA142" s="5">
        <f t="shared" si="225"/>
        <v>92.000494517619799</v>
      </c>
      <c r="CB142">
        <f t="shared" si="226"/>
        <v>32</v>
      </c>
      <c r="CD142" s="580">
        <f t="shared" ref="CD142:CD173" si="251">IF(ABS(F142-Ioutmax_Vinmin)&lt;Iout/200, AM142, -50)</f>
        <v>-50</v>
      </c>
      <c r="CE142">
        <f t="shared" ref="CE142:CE173" si="252">IF(ABS(F142-Ioutmax_Vinmin)&lt;Iout/200, (O142+P142)*BZ142, -50)</f>
        <v>-50</v>
      </c>
    </row>
    <row r="143" spans="5:83" x14ac:dyDescent="0.2">
      <c r="E143" s="175">
        <v>33</v>
      </c>
      <c r="F143" s="222">
        <f t="shared" ref="F143:F174" si="253">IF(PLOT_TYPE=1, E143/100*Iout_max, min_I*EXP(O143*rr/100))</f>
        <v>0.13200000000000001</v>
      </c>
      <c r="G143" s="222">
        <f t="shared" si="234"/>
        <v>6.6000000000000003E-2</v>
      </c>
      <c r="H143" s="222">
        <f t="shared" si="235"/>
        <v>1.5840000000000001</v>
      </c>
      <c r="I143" s="222">
        <f t="shared" si="236"/>
        <v>0.79200000000000004</v>
      </c>
      <c r="J143" s="558">
        <f t="shared" si="171"/>
        <v>21.6</v>
      </c>
      <c r="K143" s="453">
        <f t="shared" si="172"/>
        <v>24.5</v>
      </c>
      <c r="L143" s="453">
        <f t="shared" si="173"/>
        <v>46.1</v>
      </c>
      <c r="M143" s="453"/>
      <c r="N143" s="222">
        <f t="shared" si="174"/>
        <v>0.53145336225596529</v>
      </c>
      <c r="O143" s="177">
        <f t="shared" si="237"/>
        <v>5.2709544468546632</v>
      </c>
      <c r="P143" s="177">
        <f t="shared" si="238"/>
        <v>3.9532158351409978</v>
      </c>
      <c r="Q143" s="222">
        <f t="shared" si="177"/>
        <v>0.43924620390455527</v>
      </c>
      <c r="R143" s="222">
        <f t="shared" si="239"/>
        <v>0.43924620390455527</v>
      </c>
      <c r="S143" s="222">
        <f t="shared" si="240"/>
        <v>12</v>
      </c>
      <c r="T143" s="222">
        <f t="shared" si="241"/>
        <v>0.43574650912996782</v>
      </c>
      <c r="U143" s="222">
        <f t="shared" si="181"/>
        <v>1.6945697577276524</v>
      </c>
      <c r="V143" s="222">
        <f t="shared" si="182"/>
        <v>1.4939880313027469</v>
      </c>
      <c r="W143" s="202">
        <f t="shared" si="183"/>
        <v>350</v>
      </c>
      <c r="X143" s="453">
        <f t="shared" si="184"/>
        <v>313.62141324215656</v>
      </c>
      <c r="Z143" s="222">
        <f t="shared" si="185"/>
        <v>0.39045553145336231</v>
      </c>
      <c r="AA143" s="178">
        <f t="shared" si="186"/>
        <v>1.3387046792686708</v>
      </c>
      <c r="AB143" s="178">
        <f t="shared" si="242"/>
        <v>0.12196441763402208</v>
      </c>
      <c r="AC143" s="178"/>
      <c r="AD143" s="178">
        <f t="shared" si="188"/>
        <v>0.99428571428571422</v>
      </c>
      <c r="AE143" s="562">
        <f t="shared" si="243"/>
        <v>457.78834720570757</v>
      </c>
      <c r="AF143" s="545">
        <f t="shared" si="244"/>
        <v>0.10091999999999998</v>
      </c>
      <c r="AH143" s="178">
        <f t="shared" si="245"/>
        <v>0.40203563655629398</v>
      </c>
      <c r="AI143" s="178">
        <f t="shared" si="246"/>
        <v>0.43574650912996782</v>
      </c>
      <c r="AJ143" s="178">
        <f t="shared" si="247"/>
        <v>1.3079603771333095</v>
      </c>
      <c r="AL143" s="562">
        <f t="shared" si="248"/>
        <v>132</v>
      </c>
      <c r="AM143" s="471">
        <f t="shared" si="249"/>
        <v>313.62141324215656</v>
      </c>
      <c r="AO143" s="471">
        <f t="shared" si="196"/>
        <v>132</v>
      </c>
      <c r="AP143" s="471">
        <f t="shared" si="197"/>
        <v>313.62141324215656</v>
      </c>
      <c r="AR143" s="5">
        <f t="shared" si="233"/>
        <v>3.1885577890303995</v>
      </c>
      <c r="AS143" s="5">
        <f t="shared" si="230"/>
        <v>1.6945697577276524</v>
      </c>
      <c r="AT143" s="5">
        <f t="shared" si="231"/>
        <v>1.4939880313027472</v>
      </c>
      <c r="AU143" s="178">
        <f t="shared" si="232"/>
        <v>0.53145336225596518</v>
      </c>
      <c r="AW143" s="5">
        <f t="shared" si="201"/>
        <v>1.8640267335004177</v>
      </c>
      <c r="AX143" s="5">
        <f t="shared" si="202"/>
        <v>0.93201336675020885</v>
      </c>
      <c r="AY143" s="5">
        <f t="shared" si="203"/>
        <v>9.6104493241697175E-2</v>
      </c>
      <c r="AZ143" s="5"/>
      <c r="BA143" s="178">
        <f t="shared" si="204"/>
        <v>0.18340276070603193</v>
      </c>
      <c r="BB143" s="178">
        <f t="shared" si="205"/>
        <v>0.3444131285054256</v>
      </c>
      <c r="BC143" s="178">
        <f t="shared" si="206"/>
        <v>0.1722065642527128</v>
      </c>
      <c r="BD143" s="178"/>
      <c r="BE143" s="545">
        <f t="shared" si="207"/>
        <v>1.1772800422107901E-2</v>
      </c>
      <c r="BF143" s="545">
        <f t="shared" si="208"/>
        <v>4.7249999999999993E-2</v>
      </c>
      <c r="BG143" s="545">
        <f t="shared" si="209"/>
        <v>3.9202676655269563E-3</v>
      </c>
      <c r="BH143" s="545">
        <f t="shared" si="210"/>
        <v>3.3325568181818178E-2</v>
      </c>
      <c r="BI143">
        <f t="shared" si="211"/>
        <v>6.2640000000000005E-3</v>
      </c>
      <c r="BK143" s="471">
        <f t="shared" si="212"/>
        <v>102.53263626945304</v>
      </c>
      <c r="BL143" s="178">
        <f t="shared" si="213"/>
        <v>3.9600000000000003E-2</v>
      </c>
      <c r="BM143" s="178">
        <f t="shared" si="214"/>
        <v>1.9800000000000002E-2</v>
      </c>
      <c r="BN143" s="545"/>
      <c r="BP143" s="471">
        <f t="shared" si="215"/>
        <v>59.400000000000006</v>
      </c>
      <c r="BQ143" s="545">
        <f t="shared" si="216"/>
        <v>3.1954744002864305E-3</v>
      </c>
      <c r="BR143" s="545">
        <f t="shared" si="217"/>
        <v>1.0675836277820533E-2</v>
      </c>
      <c r="BS143" s="545">
        <f t="shared" si="218"/>
        <v>2.9655100771723703E-3</v>
      </c>
      <c r="BT143" s="545">
        <f t="shared" si="219"/>
        <v>1.0916139186003931E-2</v>
      </c>
      <c r="BU143" s="545"/>
      <c r="BV143" s="655">
        <f t="shared" si="250"/>
        <v>1.3398496240601505E-2</v>
      </c>
      <c r="BW143" s="471">
        <f t="shared" si="221"/>
        <v>41.151456181884775</v>
      </c>
      <c r="BX143" s="178">
        <f t="shared" si="222"/>
        <v>0.20308409245133782</v>
      </c>
      <c r="BY143" s="5">
        <f t="shared" si="223"/>
        <v>2.3760000000000003</v>
      </c>
      <c r="BZ143" s="178">
        <f t="shared" si="224"/>
        <v>0.92125728158855313</v>
      </c>
      <c r="CA143" s="5">
        <f t="shared" si="225"/>
        <v>92.12572815885531</v>
      </c>
      <c r="CB143">
        <f t="shared" si="226"/>
        <v>33</v>
      </c>
      <c r="CD143" s="580">
        <f t="shared" si="251"/>
        <v>-50</v>
      </c>
      <c r="CE143">
        <f t="shared" si="252"/>
        <v>-50</v>
      </c>
    </row>
    <row r="144" spans="5:83" x14ac:dyDescent="0.2">
      <c r="E144" s="175">
        <v>34</v>
      </c>
      <c r="F144" s="222">
        <f t="shared" si="253"/>
        <v>0.13600000000000001</v>
      </c>
      <c r="G144" s="222">
        <f t="shared" si="234"/>
        <v>6.8000000000000005E-2</v>
      </c>
      <c r="H144" s="222">
        <f t="shared" si="235"/>
        <v>1.6320000000000001</v>
      </c>
      <c r="I144" s="222">
        <f t="shared" si="236"/>
        <v>0.81600000000000006</v>
      </c>
      <c r="J144" s="558">
        <f t="shared" si="171"/>
        <v>21.6</v>
      </c>
      <c r="K144" s="453">
        <f t="shared" si="172"/>
        <v>24.5</v>
      </c>
      <c r="L144" s="453">
        <f t="shared" si="173"/>
        <v>46.1</v>
      </c>
      <c r="M144" s="453"/>
      <c r="N144" s="222">
        <f t="shared" si="174"/>
        <v>0.53145336225596529</v>
      </c>
      <c r="O144" s="177">
        <f t="shared" si="237"/>
        <v>5.2709544468546632</v>
      </c>
      <c r="P144" s="177">
        <f t="shared" si="238"/>
        <v>3.9532158351409978</v>
      </c>
      <c r="Q144" s="222">
        <f t="shared" si="177"/>
        <v>0.43924620390455527</v>
      </c>
      <c r="R144" s="222">
        <f t="shared" si="239"/>
        <v>0.43924620390455527</v>
      </c>
      <c r="S144" s="222">
        <f t="shared" si="240"/>
        <v>12</v>
      </c>
      <c r="T144" s="222">
        <f t="shared" si="241"/>
        <v>0.4489509488005729</v>
      </c>
      <c r="U144" s="222">
        <f t="shared" si="181"/>
        <v>1.7459203564466723</v>
      </c>
      <c r="V144" s="222">
        <f t="shared" si="182"/>
        <v>1.5392603958876785</v>
      </c>
      <c r="W144" s="202">
        <f t="shared" si="183"/>
        <v>350</v>
      </c>
      <c r="X144" s="453">
        <f t="shared" si="184"/>
        <v>304.39725402915195</v>
      </c>
      <c r="Z144" s="222">
        <f t="shared" si="185"/>
        <v>0.39045553145336231</v>
      </c>
      <c r="AA144" s="178">
        <f t="shared" si="186"/>
        <v>1.3387046792686708</v>
      </c>
      <c r="AB144" s="178">
        <f t="shared" si="242"/>
        <v>0.12196441763402208</v>
      </c>
      <c r="AC144" s="178"/>
      <c r="AD144" s="178">
        <f t="shared" si="188"/>
        <v>0.99428571428571422</v>
      </c>
      <c r="AE144" s="562">
        <f t="shared" si="243"/>
        <v>471.66072136345633</v>
      </c>
      <c r="AF144" s="545">
        <f t="shared" si="244"/>
        <v>0.10091999999999998</v>
      </c>
      <c r="AH144" s="178">
        <f t="shared" si="245"/>
        <v>0.40808162448816288</v>
      </c>
      <c r="AI144" s="178">
        <f t="shared" si="246"/>
        <v>0.4489509488005729</v>
      </c>
      <c r="AJ144" s="178">
        <f t="shared" si="247"/>
        <v>1.3177414435559798</v>
      </c>
      <c r="AL144" s="562">
        <f t="shared" si="248"/>
        <v>136</v>
      </c>
      <c r="AM144" s="471">
        <f t="shared" si="249"/>
        <v>304.39725402915195</v>
      </c>
      <c r="AO144" s="471">
        <f t="shared" si="196"/>
        <v>136</v>
      </c>
      <c r="AP144" s="471">
        <f t="shared" si="197"/>
        <v>304.39725402915195</v>
      </c>
      <c r="AR144" s="5">
        <f t="shared" si="233"/>
        <v>3.2851807523343508</v>
      </c>
      <c r="AS144" s="5">
        <f t="shared" si="230"/>
        <v>1.7459203564466723</v>
      </c>
      <c r="AT144" s="5">
        <f t="shared" si="231"/>
        <v>1.5392603958876785</v>
      </c>
      <c r="AU144" s="178">
        <f t="shared" si="232"/>
        <v>0.53145336225596529</v>
      </c>
      <c r="AW144" s="5">
        <f t="shared" si="201"/>
        <v>1.978709737306229</v>
      </c>
      <c r="AX144" s="5">
        <f t="shared" si="202"/>
        <v>0.98935486865311451</v>
      </c>
      <c r="AY144" s="5">
        <f t="shared" si="203"/>
        <v>0.10201725820698061</v>
      </c>
      <c r="AZ144" s="5"/>
      <c r="BA144" s="178">
        <f t="shared" si="204"/>
        <v>0.18896042012136624</v>
      </c>
      <c r="BB144" s="178">
        <f t="shared" si="205"/>
        <v>0.35484988997528694</v>
      </c>
      <c r="BC144" s="178">
        <f t="shared" si="206"/>
        <v>0.17742494498764347</v>
      </c>
      <c r="BD144" s="178"/>
      <c r="BE144" s="545">
        <f t="shared" si="207"/>
        <v>1.249711413035513E-2</v>
      </c>
      <c r="BF144" s="545">
        <f t="shared" si="208"/>
        <v>4.7249999999999993E-2</v>
      </c>
      <c r="BG144" s="545">
        <f t="shared" si="209"/>
        <v>3.8049656753643994E-3</v>
      </c>
      <c r="BH144" s="545">
        <f t="shared" si="210"/>
        <v>3.23454044117647E-2</v>
      </c>
      <c r="BI144">
        <f t="shared" si="211"/>
        <v>6.2640000000000005E-3</v>
      </c>
      <c r="BK144" s="471">
        <f t="shared" si="212"/>
        <v>102.16148421748422</v>
      </c>
      <c r="BL144" s="178">
        <f t="shared" si="213"/>
        <v>4.0800000000000003E-2</v>
      </c>
      <c r="BM144" s="178">
        <f t="shared" si="214"/>
        <v>2.0400000000000001E-2</v>
      </c>
      <c r="BN144" s="545"/>
      <c r="BP144" s="471">
        <f t="shared" si="215"/>
        <v>61.2</v>
      </c>
      <c r="BQ144" s="545">
        <f t="shared" si="216"/>
        <v>3.392073835382107E-3</v>
      </c>
      <c r="BR144" s="545">
        <f t="shared" si="217"/>
        <v>1.1332659997392592E-2</v>
      </c>
      <c r="BS144" s="545">
        <f t="shared" si="218"/>
        <v>3.1479611103868315E-3</v>
      </c>
      <c r="BT144" s="545">
        <f t="shared" si="219"/>
        <v>1.091613918600395E-2</v>
      </c>
      <c r="BU144" s="545"/>
      <c r="BV144" s="655">
        <f t="shared" si="250"/>
        <v>1.3804511278195489E-2</v>
      </c>
      <c r="BW144" s="471">
        <f t="shared" si="221"/>
        <v>42.593345407360971</v>
      </c>
      <c r="BX144" s="178">
        <f t="shared" si="222"/>
        <v>0.20595482962484521</v>
      </c>
      <c r="BY144" s="5">
        <f t="shared" si="223"/>
        <v>2.4480000000000004</v>
      </c>
      <c r="BZ144" s="178">
        <f t="shared" si="224"/>
        <v>0.92239701018047915</v>
      </c>
      <c r="CA144" s="5">
        <f t="shared" si="225"/>
        <v>92.23970101804791</v>
      </c>
      <c r="CB144">
        <f t="shared" si="226"/>
        <v>34</v>
      </c>
      <c r="CD144" s="580">
        <f t="shared" si="251"/>
        <v>-50</v>
      </c>
      <c r="CE144">
        <f t="shared" si="252"/>
        <v>-50</v>
      </c>
    </row>
    <row r="145" spans="5:83" x14ac:dyDescent="0.2">
      <c r="E145" s="175">
        <v>35</v>
      </c>
      <c r="F145" s="222">
        <f t="shared" si="253"/>
        <v>0.13999999999999999</v>
      </c>
      <c r="G145" s="222">
        <f t="shared" si="234"/>
        <v>6.9999999999999993E-2</v>
      </c>
      <c r="H145" s="222">
        <f t="shared" si="235"/>
        <v>1.6799999999999997</v>
      </c>
      <c r="I145" s="222">
        <f t="shared" si="236"/>
        <v>0.83999999999999986</v>
      </c>
      <c r="J145" s="558">
        <f t="shared" si="171"/>
        <v>21.6</v>
      </c>
      <c r="K145" s="453">
        <f t="shared" si="172"/>
        <v>24.5</v>
      </c>
      <c r="L145" s="453">
        <f t="shared" si="173"/>
        <v>46.1</v>
      </c>
      <c r="M145" s="453"/>
      <c r="N145" s="222">
        <f t="shared" si="174"/>
        <v>0.53145336225596529</v>
      </c>
      <c r="O145" s="177">
        <f t="shared" si="237"/>
        <v>5.2709544468546632</v>
      </c>
      <c r="P145" s="177">
        <f t="shared" si="238"/>
        <v>3.9532158351409978</v>
      </c>
      <c r="Q145" s="222">
        <f t="shared" si="177"/>
        <v>0.43924620390455527</v>
      </c>
      <c r="R145" s="222">
        <f t="shared" si="239"/>
        <v>0.43924620390455527</v>
      </c>
      <c r="S145" s="222">
        <f t="shared" si="240"/>
        <v>12</v>
      </c>
      <c r="T145" s="222">
        <f t="shared" si="241"/>
        <v>0.46215538847117787</v>
      </c>
      <c r="U145" s="222">
        <f t="shared" si="181"/>
        <v>1.7972709551656914</v>
      </c>
      <c r="V145" s="222">
        <f t="shared" si="182"/>
        <v>1.5845327604726098</v>
      </c>
      <c r="W145" s="202">
        <f t="shared" si="183"/>
        <v>350</v>
      </c>
      <c r="X145" s="453">
        <f t="shared" si="184"/>
        <v>295.70018962831915</v>
      </c>
      <c r="Z145" s="222">
        <f t="shared" si="185"/>
        <v>0.39045553145336231</v>
      </c>
      <c r="AA145" s="178">
        <f t="shared" si="186"/>
        <v>1.3387046792686708</v>
      </c>
      <c r="AB145" s="178">
        <f t="shared" si="242"/>
        <v>0.12196441763402208</v>
      </c>
      <c r="AC145" s="178"/>
      <c r="AD145" s="178">
        <f t="shared" si="188"/>
        <v>0.99428571428571422</v>
      </c>
      <c r="AE145" s="562">
        <f t="shared" si="243"/>
        <v>485.53309552120504</v>
      </c>
      <c r="AF145" s="545">
        <f t="shared" si="244"/>
        <v>0.10091999999999998</v>
      </c>
      <c r="AH145" s="178">
        <f t="shared" si="245"/>
        <v>0.41403933560541251</v>
      </c>
      <c r="AI145" s="178">
        <f t="shared" si="246"/>
        <v>0.46215538847117787</v>
      </c>
      <c r="AJ145" s="178">
        <f t="shared" si="247"/>
        <v>1.3275225099786503</v>
      </c>
      <c r="AL145" s="562">
        <f t="shared" si="248"/>
        <v>139.99999999999997</v>
      </c>
      <c r="AM145" s="471">
        <f t="shared" si="249"/>
        <v>295.70018962831915</v>
      </c>
      <c r="AO145" s="471">
        <f t="shared" si="196"/>
        <v>139.99999999999997</v>
      </c>
      <c r="AP145" s="471">
        <f t="shared" si="197"/>
        <v>295.70018962831915</v>
      </c>
      <c r="AR145" s="5">
        <f t="shared" si="233"/>
        <v>3.3818037156383012</v>
      </c>
      <c r="AS145" s="5">
        <f t="shared" si="230"/>
        <v>1.7972709551656914</v>
      </c>
      <c r="AT145" s="5">
        <f t="shared" si="231"/>
        <v>1.5845327604726098</v>
      </c>
      <c r="AU145" s="178">
        <f t="shared" si="232"/>
        <v>0.53145336225596529</v>
      </c>
      <c r="AW145" s="5">
        <f t="shared" si="201"/>
        <v>2.0968161143599731</v>
      </c>
      <c r="AX145" s="5">
        <f t="shared" si="202"/>
        <v>1.0484080571799865</v>
      </c>
      <c r="AY145" s="5">
        <f t="shared" si="203"/>
        <v>0.10810652361898893</v>
      </c>
      <c r="AZ145" s="5"/>
      <c r="BA145" s="178">
        <f t="shared" si="204"/>
        <v>0.1945180795367005</v>
      </c>
      <c r="BB145" s="178">
        <f t="shared" si="205"/>
        <v>0.36528665144514827</v>
      </c>
      <c r="BC145" s="178">
        <f t="shared" si="206"/>
        <v>0.18264332572257413</v>
      </c>
      <c r="BD145" s="178"/>
      <c r="BE145" s="545">
        <f t="shared" si="207"/>
        <v>1.3243049143326149E-2</v>
      </c>
      <c r="BF145" s="545">
        <f t="shared" si="208"/>
        <v>4.725E-2</v>
      </c>
      <c r="BG145" s="545">
        <f t="shared" si="209"/>
        <v>3.6962523703539894E-3</v>
      </c>
      <c r="BH145" s="545">
        <f t="shared" si="210"/>
        <v>3.1421250000000005E-2</v>
      </c>
      <c r="BI145">
        <f t="shared" si="211"/>
        <v>6.2640000000000005E-3</v>
      </c>
      <c r="BK145" s="471">
        <f t="shared" si="212"/>
        <v>101.87455151368015</v>
      </c>
      <c r="BL145" s="178">
        <f t="shared" si="213"/>
        <v>4.1999999999999996E-2</v>
      </c>
      <c r="BM145" s="178">
        <f t="shared" si="214"/>
        <v>2.0999999999999998E-2</v>
      </c>
      <c r="BN145" s="545"/>
      <c r="BP145" s="471">
        <f t="shared" si="215"/>
        <v>63</v>
      </c>
      <c r="BQ145" s="545">
        <f t="shared" si="216"/>
        <v>3.5945419103313833E-3</v>
      </c>
      <c r="BR145" s="545">
        <f t="shared" si="217"/>
        <v>1.2009090395160833E-2</v>
      </c>
      <c r="BS145" s="545">
        <f t="shared" si="218"/>
        <v>3.3358584431002316E-3</v>
      </c>
      <c r="BT145" s="545">
        <f t="shared" si="219"/>
        <v>1.0916139186003938E-2</v>
      </c>
      <c r="BU145" s="545"/>
      <c r="BV145" s="655">
        <f t="shared" si="250"/>
        <v>1.4210526315789476E-2</v>
      </c>
      <c r="BW145" s="471">
        <f t="shared" si="221"/>
        <v>44.066156250385859</v>
      </c>
      <c r="BX145" s="178">
        <f t="shared" si="222"/>
        <v>0.20894070776406595</v>
      </c>
      <c r="BY145" s="5">
        <f t="shared" si="223"/>
        <v>2.5199999999999996</v>
      </c>
      <c r="BZ145" s="178">
        <f t="shared" si="224"/>
        <v>0.92343523361661461</v>
      </c>
      <c r="CA145" s="5">
        <f t="shared" si="225"/>
        <v>92.343523361661468</v>
      </c>
      <c r="CB145">
        <f t="shared" si="226"/>
        <v>34.999999999999993</v>
      </c>
      <c r="CD145" s="580">
        <f t="shared" si="251"/>
        <v>-50</v>
      </c>
      <c r="CE145">
        <f t="shared" si="252"/>
        <v>-50</v>
      </c>
    </row>
    <row r="146" spans="5:83" x14ac:dyDescent="0.2">
      <c r="E146" s="175">
        <v>36</v>
      </c>
      <c r="F146" s="222">
        <f t="shared" si="253"/>
        <v>0.14399999999999999</v>
      </c>
      <c r="G146" s="222">
        <f t="shared" si="234"/>
        <v>7.1999999999999995E-2</v>
      </c>
      <c r="H146" s="222">
        <f t="shared" si="235"/>
        <v>1.7279999999999998</v>
      </c>
      <c r="I146" s="222">
        <f t="shared" si="236"/>
        <v>0.86399999999999988</v>
      </c>
      <c r="J146" s="558">
        <f t="shared" si="171"/>
        <v>21.6</v>
      </c>
      <c r="K146" s="453">
        <f t="shared" si="172"/>
        <v>24.5</v>
      </c>
      <c r="L146" s="453">
        <f t="shared" si="173"/>
        <v>46.1</v>
      </c>
      <c r="M146" s="453"/>
      <c r="N146" s="222">
        <f t="shared" si="174"/>
        <v>0.53145336225596529</v>
      </c>
      <c r="O146" s="177">
        <f t="shared" si="237"/>
        <v>5.2709544468546632</v>
      </c>
      <c r="P146" s="177">
        <f t="shared" si="238"/>
        <v>3.9532158351409978</v>
      </c>
      <c r="Q146" s="222">
        <f t="shared" si="177"/>
        <v>0.43924620390455527</v>
      </c>
      <c r="R146" s="222">
        <f t="shared" si="239"/>
        <v>0.43924620390455527</v>
      </c>
      <c r="S146" s="222">
        <f t="shared" si="240"/>
        <v>12</v>
      </c>
      <c r="T146" s="222">
        <f t="shared" si="241"/>
        <v>0.47535982814178296</v>
      </c>
      <c r="U146" s="222">
        <f t="shared" si="181"/>
        <v>1.8486215538847113</v>
      </c>
      <c r="V146" s="222">
        <f t="shared" si="182"/>
        <v>1.6298051250575414</v>
      </c>
      <c r="W146" s="202">
        <f t="shared" si="183"/>
        <v>350</v>
      </c>
      <c r="X146" s="453">
        <f t="shared" si="184"/>
        <v>287.48629547197697</v>
      </c>
      <c r="Z146" s="222">
        <f t="shared" si="185"/>
        <v>0.39045553145336231</v>
      </c>
      <c r="AA146" s="178">
        <f t="shared" si="186"/>
        <v>1.3387046792686708</v>
      </c>
      <c r="AB146" s="178">
        <f t="shared" si="242"/>
        <v>0.12196441763402208</v>
      </c>
      <c r="AC146" s="178"/>
      <c r="AD146" s="178">
        <f t="shared" si="188"/>
        <v>0.99428571428571422</v>
      </c>
      <c r="AE146" s="562">
        <f t="shared" si="243"/>
        <v>499.40546967895369</v>
      </c>
      <c r="AF146" s="545">
        <f t="shared" si="244"/>
        <v>0.10091999999999998</v>
      </c>
      <c r="AH146" s="178">
        <f t="shared" si="245"/>
        <v>0.4199125273342591</v>
      </c>
      <c r="AI146" s="178">
        <f t="shared" si="246"/>
        <v>0.47535982814178296</v>
      </c>
      <c r="AJ146" s="178">
        <f t="shared" si="247"/>
        <v>1.3373035764013206</v>
      </c>
      <c r="AL146" s="562">
        <f t="shared" si="248"/>
        <v>144</v>
      </c>
      <c r="AM146" s="471">
        <f t="shared" si="249"/>
        <v>287.48629547197697</v>
      </c>
      <c r="AO146" s="471">
        <f t="shared" si="196"/>
        <v>144</v>
      </c>
      <c r="AP146" s="471">
        <f t="shared" si="197"/>
        <v>287.48629547197697</v>
      </c>
      <c r="AR146" s="5">
        <f t="shared" si="233"/>
        <v>3.4784266789422524</v>
      </c>
      <c r="AS146" s="5">
        <f t="shared" si="230"/>
        <v>1.8486215538847113</v>
      </c>
      <c r="AT146" s="5">
        <f t="shared" si="231"/>
        <v>1.6298051250575412</v>
      </c>
      <c r="AU146" s="178">
        <f t="shared" si="232"/>
        <v>0.53145336225596529</v>
      </c>
      <c r="AW146" s="5">
        <f t="shared" si="201"/>
        <v>2.2183458646616532</v>
      </c>
      <c r="AX146" s="5">
        <f t="shared" si="202"/>
        <v>1.1091729323308266</v>
      </c>
      <c r="AY146" s="5">
        <f t="shared" si="203"/>
        <v>0.11437228947772214</v>
      </c>
      <c r="AZ146" s="5"/>
      <c r="BA146" s="178">
        <f t="shared" si="204"/>
        <v>0.20007573895203479</v>
      </c>
      <c r="BB146" s="178">
        <f t="shared" si="205"/>
        <v>0.3757234129150096</v>
      </c>
      <c r="BC146" s="178">
        <f t="shared" si="206"/>
        <v>0.1878617064575048</v>
      </c>
      <c r="BD146" s="178"/>
      <c r="BE146" s="545">
        <f t="shared" si="207"/>
        <v>1.4010605461020969E-2</v>
      </c>
      <c r="BF146" s="545">
        <f t="shared" si="208"/>
        <v>4.725E-2</v>
      </c>
      <c r="BG146" s="545">
        <f t="shared" si="209"/>
        <v>3.5935786933997123E-3</v>
      </c>
      <c r="BH146" s="545">
        <f t="shared" si="210"/>
        <v>3.0548437500000008E-2</v>
      </c>
      <c r="BI146">
        <f t="shared" si="211"/>
        <v>6.2640000000000005E-3</v>
      </c>
      <c r="BK146" s="471">
        <f t="shared" si="212"/>
        <v>101.66662165442069</v>
      </c>
      <c r="BL146" s="178">
        <f t="shared" si="213"/>
        <v>4.3199999999999995E-2</v>
      </c>
      <c r="BM146" s="178">
        <f t="shared" si="214"/>
        <v>2.1599999999999998E-2</v>
      </c>
      <c r="BN146" s="545"/>
      <c r="BP146" s="471">
        <f t="shared" si="215"/>
        <v>64.8</v>
      </c>
      <c r="BQ146" s="545">
        <f t="shared" si="216"/>
        <v>3.8028786251342629E-3</v>
      </c>
      <c r="BR146" s="545">
        <f t="shared" si="217"/>
        <v>1.2705127471125252E-2</v>
      </c>
      <c r="BS146" s="545">
        <f t="shared" si="218"/>
        <v>3.5292020753125704E-3</v>
      </c>
      <c r="BT146" s="545">
        <f t="shared" si="219"/>
        <v>1.0916139186003936E-2</v>
      </c>
      <c r="BU146" s="545"/>
      <c r="BV146" s="655">
        <f t="shared" si="250"/>
        <v>1.4616541353383462E-2</v>
      </c>
      <c r="BW146" s="471">
        <f t="shared" si="221"/>
        <v>45.569888710959482</v>
      </c>
      <c r="BX146" s="178">
        <f t="shared" si="222"/>
        <v>0.21203651036538018</v>
      </c>
      <c r="BY146" s="5">
        <f t="shared" si="223"/>
        <v>2.5919999999999996</v>
      </c>
      <c r="BZ146" s="178">
        <f t="shared" si="224"/>
        <v>0.9243816870495204</v>
      </c>
      <c r="CA146" s="5">
        <f t="shared" si="225"/>
        <v>92.438168704952034</v>
      </c>
      <c r="CB146">
        <f t="shared" si="226"/>
        <v>35.999999999999993</v>
      </c>
      <c r="CD146" s="580">
        <f t="shared" si="251"/>
        <v>-50</v>
      </c>
      <c r="CE146">
        <f t="shared" si="252"/>
        <v>-50</v>
      </c>
    </row>
    <row r="147" spans="5:83" x14ac:dyDescent="0.2">
      <c r="E147" s="175">
        <v>37</v>
      </c>
      <c r="F147" s="222">
        <f t="shared" si="253"/>
        <v>0.14799999999999999</v>
      </c>
      <c r="G147" s="222">
        <f t="shared" si="234"/>
        <v>7.3999999999999996E-2</v>
      </c>
      <c r="H147" s="222">
        <f t="shared" si="235"/>
        <v>1.7759999999999998</v>
      </c>
      <c r="I147" s="222">
        <f t="shared" si="236"/>
        <v>0.8879999999999999</v>
      </c>
      <c r="J147" s="558">
        <f t="shared" si="171"/>
        <v>21.6</v>
      </c>
      <c r="K147" s="453">
        <f t="shared" si="172"/>
        <v>24.5</v>
      </c>
      <c r="L147" s="453">
        <f t="shared" si="173"/>
        <v>46.1</v>
      </c>
      <c r="M147" s="453"/>
      <c r="N147" s="222">
        <f t="shared" si="174"/>
        <v>0.53145336225596529</v>
      </c>
      <c r="O147" s="177">
        <f t="shared" si="237"/>
        <v>5.2709544468546632</v>
      </c>
      <c r="P147" s="177">
        <f t="shared" si="238"/>
        <v>3.9532158351409978</v>
      </c>
      <c r="Q147" s="222">
        <f t="shared" si="177"/>
        <v>0.43924620390455527</v>
      </c>
      <c r="R147" s="222">
        <f t="shared" si="239"/>
        <v>0.43924620390455527</v>
      </c>
      <c r="S147" s="222">
        <f t="shared" si="240"/>
        <v>12</v>
      </c>
      <c r="T147" s="222">
        <f t="shared" si="241"/>
        <v>0.48856426781238804</v>
      </c>
      <c r="U147" s="222">
        <f t="shared" si="181"/>
        <v>1.8999721526037312</v>
      </c>
      <c r="V147" s="222">
        <f t="shared" si="182"/>
        <v>1.6750774896424732</v>
      </c>
      <c r="W147" s="202">
        <f t="shared" si="183"/>
        <v>350</v>
      </c>
      <c r="X147" s="453">
        <f t="shared" si="184"/>
        <v>279.7163955943559</v>
      </c>
      <c r="Z147" s="222">
        <f t="shared" si="185"/>
        <v>0.39045553145336231</v>
      </c>
      <c r="AA147" s="178">
        <f t="shared" si="186"/>
        <v>1.3387046792686708</v>
      </c>
      <c r="AB147" s="178">
        <f t="shared" si="242"/>
        <v>0.12196441763402208</v>
      </c>
      <c r="AC147" s="178"/>
      <c r="AD147" s="178">
        <f t="shared" si="188"/>
        <v>0.99428571428571422</v>
      </c>
      <c r="AE147" s="562">
        <f t="shared" si="243"/>
        <v>513.27784383670246</v>
      </c>
      <c r="AF147" s="545">
        <f t="shared" si="244"/>
        <v>0.10091999999999998</v>
      </c>
      <c r="AH147" s="178">
        <f t="shared" si="245"/>
        <v>0.42570469787860971</v>
      </c>
      <c r="AI147" s="178">
        <f t="shared" si="246"/>
        <v>0.48856426781238804</v>
      </c>
      <c r="AJ147" s="178">
        <f t="shared" si="247"/>
        <v>1.3470846428239911</v>
      </c>
      <c r="AL147" s="562">
        <f t="shared" si="248"/>
        <v>148</v>
      </c>
      <c r="AM147" s="471">
        <f t="shared" si="249"/>
        <v>279.7163955943559</v>
      </c>
      <c r="AO147" s="471">
        <f t="shared" si="196"/>
        <v>148</v>
      </c>
      <c r="AP147" s="471">
        <f t="shared" si="197"/>
        <v>279.7163955943559</v>
      </c>
      <c r="AR147" s="5">
        <f t="shared" si="233"/>
        <v>3.575049642246205</v>
      </c>
      <c r="AS147" s="5">
        <f t="shared" si="230"/>
        <v>1.8999721526037312</v>
      </c>
      <c r="AT147" s="5">
        <f t="shared" si="231"/>
        <v>1.6750774896424738</v>
      </c>
      <c r="AU147" s="178">
        <f t="shared" si="232"/>
        <v>0.53145336225596518</v>
      </c>
      <c r="AW147" s="5">
        <f t="shared" si="201"/>
        <v>2.3432989882112687</v>
      </c>
      <c r="AX147" s="5">
        <f t="shared" si="202"/>
        <v>1.1716494941056343</v>
      </c>
      <c r="AY147" s="5">
        <f t="shared" si="203"/>
        <v>0.12081455578318033</v>
      </c>
      <c r="AZ147" s="5"/>
      <c r="BA147" s="178">
        <f t="shared" si="204"/>
        <v>0.20563339836736907</v>
      </c>
      <c r="BB147" s="178">
        <f t="shared" si="205"/>
        <v>0.38616017438487105</v>
      </c>
      <c r="BC147" s="178">
        <f t="shared" si="206"/>
        <v>0.19308008719243552</v>
      </c>
      <c r="BD147" s="178"/>
      <c r="BE147" s="545">
        <f t="shared" si="207"/>
        <v>1.4799783083439587E-2</v>
      </c>
      <c r="BF147" s="545">
        <f t="shared" si="208"/>
        <v>4.7249999999999986E-2</v>
      </c>
      <c r="BG147" s="545">
        <f t="shared" si="209"/>
        <v>3.4964549449294489E-3</v>
      </c>
      <c r="BH147" s="545">
        <f t="shared" si="210"/>
        <v>2.9722804054054055E-2</v>
      </c>
      <c r="BI147">
        <f t="shared" si="211"/>
        <v>6.2640000000000005E-3</v>
      </c>
      <c r="BK147" s="471">
        <f t="shared" si="212"/>
        <v>101.53304208242308</v>
      </c>
      <c r="BL147" s="178">
        <f t="shared" si="213"/>
        <v>4.4399999999999995E-2</v>
      </c>
      <c r="BM147" s="178">
        <f t="shared" si="214"/>
        <v>2.2199999999999998E-2</v>
      </c>
      <c r="BN147" s="545"/>
      <c r="BP147" s="471">
        <f t="shared" si="215"/>
        <v>66.599999999999994</v>
      </c>
      <c r="BQ147" s="545">
        <f t="shared" si="216"/>
        <v>4.0170839797907454E-3</v>
      </c>
      <c r="BR147" s="545">
        <f t="shared" si="217"/>
        <v>1.3420771225285861E-2</v>
      </c>
      <c r="BS147" s="545">
        <f t="shared" si="218"/>
        <v>3.7279920070238505E-3</v>
      </c>
      <c r="BT147" s="545">
        <f t="shared" si="219"/>
        <v>1.0916139186003938E-2</v>
      </c>
      <c r="BU147" s="545"/>
      <c r="BV147" s="655">
        <f t="shared" si="250"/>
        <v>1.5022556390977441E-2</v>
      </c>
      <c r="BW147" s="471">
        <f t="shared" si="221"/>
        <v>47.10454278908184</v>
      </c>
      <c r="BX147" s="178">
        <f t="shared" si="222"/>
        <v>0.21523758487150491</v>
      </c>
      <c r="BY147" s="5">
        <f t="shared" si="223"/>
        <v>2.6639999999999997</v>
      </c>
      <c r="BZ147" s="178">
        <f t="shared" si="224"/>
        <v>0.92524493775628769</v>
      </c>
      <c r="CA147" s="5">
        <f t="shared" si="225"/>
        <v>92.52449377562877</v>
      </c>
      <c r="CB147">
        <f t="shared" si="226"/>
        <v>36.999999999999993</v>
      </c>
      <c r="CD147" s="580">
        <f t="shared" si="251"/>
        <v>-50</v>
      </c>
      <c r="CE147">
        <f t="shared" si="252"/>
        <v>-50</v>
      </c>
    </row>
    <row r="148" spans="5:83" x14ac:dyDescent="0.2">
      <c r="E148" s="175">
        <v>38</v>
      </c>
      <c r="F148" s="222">
        <f t="shared" si="253"/>
        <v>0.15200000000000002</v>
      </c>
      <c r="G148" s="222">
        <f t="shared" si="234"/>
        <v>7.6000000000000012E-2</v>
      </c>
      <c r="H148" s="222">
        <f t="shared" si="235"/>
        <v>1.8240000000000003</v>
      </c>
      <c r="I148" s="222">
        <f t="shared" si="236"/>
        <v>0.91200000000000014</v>
      </c>
      <c r="J148" s="558">
        <f t="shared" si="171"/>
        <v>21.6</v>
      </c>
      <c r="K148" s="453">
        <f t="shared" si="172"/>
        <v>24.5</v>
      </c>
      <c r="L148" s="453">
        <f t="shared" si="173"/>
        <v>46.1</v>
      </c>
      <c r="M148" s="453"/>
      <c r="N148" s="222">
        <f t="shared" si="174"/>
        <v>0.53145336225596529</v>
      </c>
      <c r="O148" s="177">
        <f t="shared" si="237"/>
        <v>5.2709544468546632</v>
      </c>
      <c r="P148" s="177">
        <f t="shared" si="238"/>
        <v>3.9532158351409978</v>
      </c>
      <c r="Q148" s="222">
        <f t="shared" si="177"/>
        <v>0.43924620390455527</v>
      </c>
      <c r="R148" s="222">
        <f t="shared" si="239"/>
        <v>0.43924620390455527</v>
      </c>
      <c r="S148" s="222">
        <f t="shared" si="240"/>
        <v>12</v>
      </c>
      <c r="T148" s="222">
        <f t="shared" si="241"/>
        <v>0.50176870748299329</v>
      </c>
      <c r="U148" s="222">
        <f t="shared" si="181"/>
        <v>1.9513227513227516</v>
      </c>
      <c r="V148" s="222">
        <f t="shared" si="182"/>
        <v>1.7203498542274056</v>
      </c>
      <c r="W148" s="202">
        <f t="shared" si="183"/>
        <v>350</v>
      </c>
      <c r="X148" s="453">
        <f t="shared" si="184"/>
        <v>272.35543781555697</v>
      </c>
      <c r="Z148" s="222">
        <f t="shared" si="185"/>
        <v>0.39045553145336231</v>
      </c>
      <c r="AA148" s="178">
        <f t="shared" si="186"/>
        <v>1.3387046792686708</v>
      </c>
      <c r="AB148" s="178">
        <f t="shared" si="242"/>
        <v>0.12196441763402208</v>
      </c>
      <c r="AC148" s="178"/>
      <c r="AD148" s="178">
        <f t="shared" si="188"/>
        <v>0.99428571428571422</v>
      </c>
      <c r="AE148" s="562">
        <f t="shared" si="243"/>
        <v>527.15021799445128</v>
      </c>
      <c r="AF148" s="545">
        <f t="shared" si="244"/>
        <v>0.10091999999999998</v>
      </c>
      <c r="AH148" s="178">
        <f t="shared" si="245"/>
        <v>0.43141911058690008</v>
      </c>
      <c r="AI148" s="178">
        <f t="shared" si="246"/>
        <v>0.50176870748299329</v>
      </c>
      <c r="AJ148" s="178">
        <f t="shared" si="247"/>
        <v>1.3568657092466616</v>
      </c>
      <c r="AL148" s="562">
        <f t="shared" si="248"/>
        <v>152.00000000000003</v>
      </c>
      <c r="AM148" s="471">
        <f t="shared" si="249"/>
        <v>272.35543781555697</v>
      </c>
      <c r="AO148" s="471">
        <f t="shared" si="196"/>
        <v>152.00000000000003</v>
      </c>
      <c r="AP148" s="471">
        <f t="shared" si="197"/>
        <v>272.35543781555697</v>
      </c>
      <c r="AR148" s="5">
        <f t="shared" si="233"/>
        <v>3.6716726055501576</v>
      </c>
      <c r="AS148" s="5">
        <f t="shared" si="230"/>
        <v>1.9513227513227516</v>
      </c>
      <c r="AT148" s="5">
        <f t="shared" si="231"/>
        <v>1.7203498542274061</v>
      </c>
      <c r="AU148" s="178">
        <f t="shared" si="232"/>
        <v>0.53145336225596518</v>
      </c>
      <c r="AW148" s="5">
        <f t="shared" si="201"/>
        <v>2.4716754850088192</v>
      </c>
      <c r="AX148" s="5">
        <f t="shared" si="202"/>
        <v>1.2358377425044096</v>
      </c>
      <c r="AY148" s="5">
        <f t="shared" si="203"/>
        <v>0.12743332253536341</v>
      </c>
      <c r="AZ148" s="5"/>
      <c r="BA148" s="178">
        <f t="shared" si="204"/>
        <v>0.21119105778270345</v>
      </c>
      <c r="BB148" s="178">
        <f t="shared" si="205"/>
        <v>0.39659693585473255</v>
      </c>
      <c r="BC148" s="178">
        <f t="shared" si="206"/>
        <v>0.19829846792736627</v>
      </c>
      <c r="BD148" s="178"/>
      <c r="BE148" s="545">
        <f t="shared" si="207"/>
        <v>1.5610582010582014E-2</v>
      </c>
      <c r="BF148" s="545">
        <f t="shared" si="208"/>
        <v>4.7249999999999986E-2</v>
      </c>
      <c r="BG148" s="545">
        <f t="shared" si="209"/>
        <v>3.404442972694462E-3</v>
      </c>
      <c r="BH148" s="545">
        <f t="shared" si="210"/>
        <v>2.8940624999999991E-2</v>
      </c>
      <c r="BI148">
        <f t="shared" si="211"/>
        <v>6.2640000000000005E-3</v>
      </c>
      <c r="BK148" s="471">
        <f t="shared" si="212"/>
        <v>101.46964998327647</v>
      </c>
      <c r="BL148" s="178">
        <f t="shared" si="213"/>
        <v>4.5600000000000009E-2</v>
      </c>
      <c r="BM148" s="178">
        <f t="shared" si="214"/>
        <v>2.2800000000000004E-2</v>
      </c>
      <c r="BN148" s="545"/>
      <c r="BP148" s="471">
        <f t="shared" si="215"/>
        <v>68.40000000000002</v>
      </c>
      <c r="BQ148" s="545">
        <f t="shared" si="216"/>
        <v>4.2371579743008328E-3</v>
      </c>
      <c r="BR148" s="545">
        <f t="shared" si="217"/>
        <v>1.4156021657642653E-2</v>
      </c>
      <c r="BS148" s="545">
        <f t="shared" si="218"/>
        <v>3.9322282382340708E-3</v>
      </c>
      <c r="BT148" s="545">
        <f t="shared" si="219"/>
        <v>1.0916139186003922E-2</v>
      </c>
      <c r="BU148" s="545"/>
      <c r="BV148" s="655">
        <f t="shared" si="250"/>
        <v>1.5428571428571432E-2</v>
      </c>
      <c r="BW148" s="471">
        <f t="shared" si="221"/>
        <v>48.670118484752912</v>
      </c>
      <c r="BX148" s="178">
        <f t="shared" si="222"/>
        <v>0.21853976846802942</v>
      </c>
      <c r="BY148" s="5">
        <f t="shared" si="223"/>
        <v>2.7360000000000007</v>
      </c>
      <c r="BZ148" s="178">
        <f t="shared" si="224"/>
        <v>0.92603255139755813</v>
      </c>
      <c r="CA148" s="5">
        <f t="shared" si="225"/>
        <v>92.603255139755817</v>
      </c>
      <c r="CB148">
        <f t="shared" si="226"/>
        <v>38.000000000000007</v>
      </c>
      <c r="CD148" s="580">
        <f t="shared" si="251"/>
        <v>-50</v>
      </c>
      <c r="CE148">
        <f t="shared" si="252"/>
        <v>-50</v>
      </c>
    </row>
    <row r="149" spans="5:83" x14ac:dyDescent="0.2">
      <c r="E149" s="175">
        <v>39</v>
      </c>
      <c r="F149" s="222">
        <f t="shared" si="253"/>
        <v>0.15600000000000003</v>
      </c>
      <c r="G149" s="222">
        <f t="shared" si="234"/>
        <v>7.8000000000000014E-2</v>
      </c>
      <c r="H149" s="222">
        <f t="shared" si="235"/>
        <v>1.8720000000000003</v>
      </c>
      <c r="I149" s="222">
        <f t="shared" si="236"/>
        <v>0.93600000000000017</v>
      </c>
      <c r="J149" s="558">
        <f t="shared" si="171"/>
        <v>21.6</v>
      </c>
      <c r="K149" s="453">
        <f t="shared" si="172"/>
        <v>24.5</v>
      </c>
      <c r="L149" s="453">
        <f t="shared" si="173"/>
        <v>46.1</v>
      </c>
      <c r="M149" s="453"/>
      <c r="N149" s="222">
        <f t="shared" si="174"/>
        <v>0.53145336225596529</v>
      </c>
      <c r="O149" s="177">
        <f t="shared" si="237"/>
        <v>5.2709544468546632</v>
      </c>
      <c r="P149" s="177">
        <f t="shared" si="238"/>
        <v>3.9532158351409978</v>
      </c>
      <c r="Q149" s="222">
        <f t="shared" si="177"/>
        <v>0.43924620390455527</v>
      </c>
      <c r="R149" s="222">
        <f t="shared" si="239"/>
        <v>0.43924620390455527</v>
      </c>
      <c r="S149" s="222">
        <f t="shared" si="240"/>
        <v>12</v>
      </c>
      <c r="T149" s="222">
        <f t="shared" si="241"/>
        <v>0.51497314715359843</v>
      </c>
      <c r="U149" s="222">
        <f t="shared" si="181"/>
        <v>2.0026733500417713</v>
      </c>
      <c r="V149" s="222">
        <f t="shared" si="182"/>
        <v>1.7656222188123374</v>
      </c>
      <c r="W149" s="202">
        <f t="shared" si="183"/>
        <v>350</v>
      </c>
      <c r="X149" s="453">
        <f t="shared" si="184"/>
        <v>265.37196505105555</v>
      </c>
      <c r="Z149" s="222">
        <f t="shared" si="185"/>
        <v>0.39045553145336231</v>
      </c>
      <c r="AA149" s="178">
        <f t="shared" si="186"/>
        <v>1.3387046792686708</v>
      </c>
      <c r="AB149" s="178">
        <f t="shared" si="242"/>
        <v>0.12196441763402208</v>
      </c>
      <c r="AC149" s="178"/>
      <c r="AD149" s="178">
        <f t="shared" si="188"/>
        <v>0.99428571428571422</v>
      </c>
      <c r="AE149" s="562">
        <f t="shared" si="243"/>
        <v>541.02259215219999</v>
      </c>
      <c r="AF149" s="545">
        <f t="shared" si="244"/>
        <v>0.10091999999999998</v>
      </c>
      <c r="AH149" s="178">
        <f t="shared" si="245"/>
        <v>0.43705881545081021</v>
      </c>
      <c r="AI149" s="178">
        <f t="shared" si="246"/>
        <v>0.51497314715359843</v>
      </c>
      <c r="AJ149" s="178">
        <f t="shared" si="247"/>
        <v>1.3666467756693321</v>
      </c>
      <c r="AL149" s="562">
        <f t="shared" si="248"/>
        <v>156.00000000000003</v>
      </c>
      <c r="AM149" s="471">
        <f t="shared" si="249"/>
        <v>265.37196505105555</v>
      </c>
      <c r="AO149" s="471">
        <f t="shared" si="196"/>
        <v>156.00000000000003</v>
      </c>
      <c r="AP149" s="471">
        <f t="shared" si="197"/>
        <v>265.37196505105555</v>
      </c>
      <c r="AR149" s="5">
        <f t="shared" si="233"/>
        <v>3.7682955688541084</v>
      </c>
      <c r="AS149" s="5">
        <f t="shared" si="230"/>
        <v>2.0026733500417713</v>
      </c>
      <c r="AT149" s="5">
        <f t="shared" si="231"/>
        <v>1.7656222188123372</v>
      </c>
      <c r="AU149" s="178">
        <f t="shared" si="232"/>
        <v>0.53145336225596529</v>
      </c>
      <c r="AW149" s="5">
        <f t="shared" si="201"/>
        <v>2.6034753550543033</v>
      </c>
      <c r="AX149" s="5">
        <f t="shared" si="202"/>
        <v>1.3017376775271516</v>
      </c>
      <c r="AY149" s="5">
        <f t="shared" si="203"/>
        <v>0.13422858973427124</v>
      </c>
      <c r="AZ149" s="5"/>
      <c r="BA149" s="178">
        <f t="shared" si="204"/>
        <v>0.21674871719803779</v>
      </c>
      <c r="BB149" s="178">
        <f t="shared" si="205"/>
        <v>0.40703369732459393</v>
      </c>
      <c r="BC149" s="178">
        <f t="shared" si="206"/>
        <v>0.20351684866229697</v>
      </c>
      <c r="BD149" s="178"/>
      <c r="BE149" s="545">
        <f t="shared" si="207"/>
        <v>1.6443002242448237E-2</v>
      </c>
      <c r="BF149" s="545">
        <f t="shared" si="208"/>
        <v>4.725E-2</v>
      </c>
      <c r="BG149" s="545">
        <f t="shared" si="209"/>
        <v>3.3171495631381942E-3</v>
      </c>
      <c r="BH149" s="545">
        <f t="shared" si="210"/>
        <v>2.8198557692307689E-2</v>
      </c>
      <c r="BI149">
        <f t="shared" si="211"/>
        <v>6.2640000000000005E-3</v>
      </c>
      <c r="BK149" s="471">
        <f t="shared" si="212"/>
        <v>101.47270949789413</v>
      </c>
      <c r="BL149" s="178">
        <f t="shared" si="213"/>
        <v>4.6800000000000008E-2</v>
      </c>
      <c r="BM149" s="178">
        <f t="shared" si="214"/>
        <v>2.3400000000000004E-2</v>
      </c>
      <c r="BN149" s="545"/>
      <c r="BP149" s="471">
        <f t="shared" si="215"/>
        <v>70.200000000000017</v>
      </c>
      <c r="BQ149" s="545">
        <f t="shared" si="216"/>
        <v>4.4631006086645218E-3</v>
      </c>
      <c r="BR149" s="545">
        <f t="shared" si="217"/>
        <v>1.4910878768195622E-2</v>
      </c>
      <c r="BS149" s="545">
        <f t="shared" si="218"/>
        <v>4.1419107689432289E-3</v>
      </c>
      <c r="BT149" s="545">
        <f t="shared" si="219"/>
        <v>1.0916139186003959E-2</v>
      </c>
      <c r="BU149" s="545"/>
      <c r="BV149" s="655">
        <f t="shared" si="250"/>
        <v>1.5834586466165423E-2</v>
      </c>
      <c r="BW149" s="471">
        <f t="shared" si="221"/>
        <v>50.266615797972761</v>
      </c>
      <c r="BX149" s="178">
        <f t="shared" si="222"/>
        <v>0.22193932529586691</v>
      </c>
      <c r="BY149" s="5">
        <f t="shared" si="223"/>
        <v>2.8080000000000007</v>
      </c>
      <c r="BZ149" s="178">
        <f t="shared" si="224"/>
        <v>0.92675123114084301</v>
      </c>
      <c r="CA149" s="5">
        <f t="shared" si="225"/>
        <v>92.6751231140843</v>
      </c>
      <c r="CB149">
        <f t="shared" si="226"/>
        <v>39.000000000000007</v>
      </c>
      <c r="CD149" s="580">
        <f t="shared" si="251"/>
        <v>-50</v>
      </c>
      <c r="CE149">
        <f t="shared" si="252"/>
        <v>-50</v>
      </c>
    </row>
    <row r="150" spans="5:83" x14ac:dyDescent="0.2">
      <c r="E150" s="175">
        <v>40</v>
      </c>
      <c r="F150" s="222">
        <f t="shared" si="253"/>
        <v>0.16000000000000003</v>
      </c>
      <c r="G150" s="222">
        <f t="shared" si="234"/>
        <v>8.0000000000000016E-2</v>
      </c>
      <c r="H150" s="222">
        <f t="shared" si="235"/>
        <v>1.9200000000000004</v>
      </c>
      <c r="I150" s="222">
        <f t="shared" si="236"/>
        <v>0.96000000000000019</v>
      </c>
      <c r="J150" s="558">
        <f t="shared" si="171"/>
        <v>21.6</v>
      </c>
      <c r="K150" s="453">
        <f t="shared" si="172"/>
        <v>24.5</v>
      </c>
      <c r="L150" s="453">
        <f t="shared" si="173"/>
        <v>46.1</v>
      </c>
      <c r="M150" s="453"/>
      <c r="N150" s="222">
        <f t="shared" si="174"/>
        <v>0.53145336225596529</v>
      </c>
      <c r="O150" s="177">
        <f t="shared" si="237"/>
        <v>5.2709544468546632</v>
      </c>
      <c r="P150" s="177">
        <f t="shared" si="238"/>
        <v>3.9532158351409978</v>
      </c>
      <c r="Q150" s="222">
        <f t="shared" si="177"/>
        <v>0.43924620390455527</v>
      </c>
      <c r="R150" s="222">
        <f t="shared" si="239"/>
        <v>0.43924620390455527</v>
      </c>
      <c r="S150" s="222">
        <f t="shared" si="240"/>
        <v>12</v>
      </c>
      <c r="T150" s="222">
        <f t="shared" si="241"/>
        <v>0.52817758682420346</v>
      </c>
      <c r="U150" s="222">
        <f t="shared" si="181"/>
        <v>2.0540239487607908</v>
      </c>
      <c r="V150" s="222">
        <f t="shared" si="182"/>
        <v>1.8108945833972689</v>
      </c>
      <c r="W150" s="202">
        <f t="shared" si="183"/>
        <v>350</v>
      </c>
      <c r="X150" s="453">
        <f t="shared" si="184"/>
        <v>258.73766592477921</v>
      </c>
      <c r="Z150" s="222">
        <f t="shared" si="185"/>
        <v>0.39045553145336231</v>
      </c>
      <c r="AA150" s="178">
        <f t="shared" si="186"/>
        <v>1.3387046792686708</v>
      </c>
      <c r="AB150" s="178">
        <f t="shared" si="242"/>
        <v>0.12196441763402208</v>
      </c>
      <c r="AC150" s="178"/>
      <c r="AD150" s="178">
        <f t="shared" si="188"/>
        <v>0.99428571428571422</v>
      </c>
      <c r="AE150" s="562">
        <f t="shared" si="243"/>
        <v>554.8949663099487</v>
      </c>
      <c r="AF150" s="545">
        <f t="shared" si="244"/>
        <v>0.10091999999999998</v>
      </c>
      <c r="AH150" s="178">
        <f t="shared" si="245"/>
        <v>0.44262666813799056</v>
      </c>
      <c r="AI150" s="178">
        <f t="shared" si="246"/>
        <v>0.52817758682420346</v>
      </c>
      <c r="AJ150" s="178">
        <f t="shared" si="247"/>
        <v>1.3764278420920024</v>
      </c>
      <c r="AL150" s="562">
        <f t="shared" si="248"/>
        <v>160.00000000000003</v>
      </c>
      <c r="AM150" s="471">
        <f t="shared" si="249"/>
        <v>258.73766592477921</v>
      </c>
      <c r="AO150" s="471">
        <f t="shared" si="196"/>
        <v>160.00000000000003</v>
      </c>
      <c r="AP150" s="471">
        <f t="shared" si="197"/>
        <v>258.73766592477921</v>
      </c>
      <c r="AR150" s="5">
        <f t="shared" si="233"/>
        <v>3.8649185321580597</v>
      </c>
      <c r="AS150" s="5">
        <f t="shared" si="230"/>
        <v>2.0540239487607908</v>
      </c>
      <c r="AT150" s="5">
        <f t="shared" si="231"/>
        <v>1.8108945833972689</v>
      </c>
      <c r="AU150" s="178">
        <f t="shared" si="232"/>
        <v>0.53145336225596529</v>
      </c>
      <c r="AW150" s="5">
        <f t="shared" si="201"/>
        <v>2.7386985983477214</v>
      </c>
      <c r="AX150" s="5">
        <f t="shared" si="202"/>
        <v>1.3693492991738607</v>
      </c>
      <c r="AY150" s="5">
        <f t="shared" si="203"/>
        <v>0.14120035737990402</v>
      </c>
      <c r="AZ150" s="5"/>
      <c r="BA150" s="178">
        <f t="shared" si="204"/>
        <v>0.22230637661337208</v>
      </c>
      <c r="BB150" s="178">
        <f t="shared" si="205"/>
        <v>0.41747045879445527</v>
      </c>
      <c r="BC150" s="178">
        <f t="shared" si="206"/>
        <v>0.20873522939722763</v>
      </c>
      <c r="BD150" s="178"/>
      <c r="BE150" s="545">
        <f t="shared" si="207"/>
        <v>1.7297043779038245E-2</v>
      </c>
      <c r="BF150" s="545">
        <f t="shared" si="208"/>
        <v>4.7250000000000007E-2</v>
      </c>
      <c r="BG150" s="545">
        <f t="shared" si="209"/>
        <v>3.23422082405974E-3</v>
      </c>
      <c r="BH150" s="545">
        <f t="shared" si="210"/>
        <v>2.7493593750000003E-2</v>
      </c>
      <c r="BI150">
        <f t="shared" si="211"/>
        <v>6.2640000000000005E-3</v>
      </c>
      <c r="BK150" s="471">
        <f t="shared" si="212"/>
        <v>101.53885835309801</v>
      </c>
      <c r="BL150" s="178">
        <f t="shared" si="213"/>
        <v>4.8000000000000008E-2</v>
      </c>
      <c r="BM150" s="178">
        <f t="shared" si="214"/>
        <v>2.4000000000000004E-2</v>
      </c>
      <c r="BN150" s="545"/>
      <c r="BP150" s="471">
        <f t="shared" si="215"/>
        <v>72.000000000000014</v>
      </c>
      <c r="BQ150" s="545">
        <f t="shared" si="216"/>
        <v>4.6949118828818097E-3</v>
      </c>
      <c r="BR150" s="545">
        <f t="shared" si="217"/>
        <v>1.5685342556944766E-2</v>
      </c>
      <c r="BS150" s="545">
        <f t="shared" si="218"/>
        <v>4.357039599151325E-3</v>
      </c>
      <c r="BT150" s="545">
        <f t="shared" si="219"/>
        <v>1.0916139186003945E-2</v>
      </c>
      <c r="BU150" s="545"/>
      <c r="BV150" s="655">
        <f t="shared" si="250"/>
        <v>1.6240601503759403E-2</v>
      </c>
      <c r="BW150" s="471">
        <f t="shared" si="221"/>
        <v>51.894034728741246</v>
      </c>
      <c r="BX150" s="178">
        <f t="shared" si="222"/>
        <v>0.22543289308183928</v>
      </c>
      <c r="BY150" s="5">
        <f t="shared" si="223"/>
        <v>2.8800000000000008</v>
      </c>
      <c r="BZ150" s="178">
        <f t="shared" si="224"/>
        <v>0.92740693460675006</v>
      </c>
      <c r="CA150" s="5">
        <f t="shared" si="225"/>
        <v>92.740693460675004</v>
      </c>
      <c r="CB150">
        <f t="shared" si="226"/>
        <v>40.000000000000007</v>
      </c>
      <c r="CD150" s="580">
        <f t="shared" si="251"/>
        <v>-50</v>
      </c>
      <c r="CE150">
        <f t="shared" si="252"/>
        <v>-50</v>
      </c>
    </row>
    <row r="151" spans="5:83" x14ac:dyDescent="0.2">
      <c r="E151" s="175">
        <v>41</v>
      </c>
      <c r="F151" s="222">
        <f t="shared" si="253"/>
        <v>0.16400000000000001</v>
      </c>
      <c r="G151" s="222">
        <f t="shared" si="234"/>
        <v>8.2000000000000003E-2</v>
      </c>
      <c r="H151" s="222">
        <f t="shared" si="235"/>
        <v>1.968</v>
      </c>
      <c r="I151" s="222">
        <f t="shared" si="236"/>
        <v>0.98399999999999999</v>
      </c>
      <c r="J151" s="558">
        <f t="shared" si="171"/>
        <v>21.6</v>
      </c>
      <c r="K151" s="453">
        <f t="shared" si="172"/>
        <v>24.5</v>
      </c>
      <c r="L151" s="453">
        <f t="shared" si="173"/>
        <v>46.1</v>
      </c>
      <c r="M151" s="453"/>
      <c r="N151" s="222">
        <f t="shared" si="174"/>
        <v>0.53145336225596529</v>
      </c>
      <c r="O151" s="177">
        <f t="shared" si="237"/>
        <v>5.2709544468546632</v>
      </c>
      <c r="P151" s="177">
        <f t="shared" si="238"/>
        <v>3.9532158351409978</v>
      </c>
      <c r="Q151" s="222">
        <f t="shared" si="177"/>
        <v>0.43924620390455527</v>
      </c>
      <c r="R151" s="222">
        <f t="shared" si="239"/>
        <v>0.43924620390455527</v>
      </c>
      <c r="S151" s="222">
        <f t="shared" si="240"/>
        <v>12</v>
      </c>
      <c r="T151" s="222">
        <f t="shared" si="241"/>
        <v>0.54138202649480838</v>
      </c>
      <c r="U151" s="222">
        <f t="shared" si="181"/>
        <v>2.1053745474798102</v>
      </c>
      <c r="V151" s="222">
        <f t="shared" si="182"/>
        <v>1.8561669479822001</v>
      </c>
      <c r="W151" s="202">
        <f t="shared" si="183"/>
        <v>350</v>
      </c>
      <c r="X151" s="453">
        <f t="shared" si="184"/>
        <v>252.42699114612611</v>
      </c>
      <c r="Z151" s="222">
        <f t="shared" si="185"/>
        <v>0.39045553145336231</v>
      </c>
      <c r="AA151" s="178">
        <f t="shared" si="186"/>
        <v>1.3387046792686708</v>
      </c>
      <c r="AB151" s="178">
        <f t="shared" si="242"/>
        <v>0.12196441763402208</v>
      </c>
      <c r="AC151" s="178"/>
      <c r="AD151" s="178">
        <f t="shared" si="188"/>
        <v>0.99428571428571422</v>
      </c>
      <c r="AE151" s="562">
        <f t="shared" si="243"/>
        <v>568.76734046769741</v>
      </c>
      <c r="AF151" s="545">
        <f t="shared" si="244"/>
        <v>0.10091999999999998</v>
      </c>
      <c r="AH151" s="178">
        <f t="shared" si="245"/>
        <v>0.44812534689594635</v>
      </c>
      <c r="AI151" s="178">
        <f t="shared" si="246"/>
        <v>0.54138202649480838</v>
      </c>
      <c r="AJ151" s="178">
        <f t="shared" si="247"/>
        <v>1.3862089085146727</v>
      </c>
      <c r="AL151" s="562">
        <f t="shared" si="248"/>
        <v>164</v>
      </c>
      <c r="AM151" s="471">
        <f t="shared" si="249"/>
        <v>252.42699114612611</v>
      </c>
      <c r="AO151" s="471">
        <f t="shared" si="196"/>
        <v>164</v>
      </c>
      <c r="AP151" s="471">
        <f t="shared" si="197"/>
        <v>252.42699114612611</v>
      </c>
      <c r="AR151" s="5">
        <f t="shared" si="233"/>
        <v>3.9615414954620096</v>
      </c>
      <c r="AS151" s="5">
        <f t="shared" si="230"/>
        <v>2.1053745474798102</v>
      </c>
      <c r="AT151" s="5">
        <f t="shared" si="231"/>
        <v>1.8561669479821994</v>
      </c>
      <c r="AU151" s="178">
        <f t="shared" si="232"/>
        <v>0.5314533622559654</v>
      </c>
      <c r="AW151" s="5">
        <f t="shared" si="201"/>
        <v>2.8773452148890741</v>
      </c>
      <c r="AX151" s="5">
        <f t="shared" si="202"/>
        <v>1.4386726074445371</v>
      </c>
      <c r="AY151" s="5">
        <f t="shared" si="203"/>
        <v>0.14834862547226152</v>
      </c>
      <c r="AZ151" s="5"/>
      <c r="BA151" s="178">
        <f t="shared" si="204"/>
        <v>0.22786403602870633</v>
      </c>
      <c r="BB151" s="178">
        <f t="shared" si="205"/>
        <v>0.42790722026431655</v>
      </c>
      <c r="BC151" s="178">
        <f t="shared" si="206"/>
        <v>0.21395361013215827</v>
      </c>
      <c r="BD151" s="178"/>
      <c r="BE151" s="545">
        <f t="shared" si="207"/>
        <v>1.8172706620352051E-2</v>
      </c>
      <c r="BF151" s="545">
        <f t="shared" si="208"/>
        <v>4.725E-2</v>
      </c>
      <c r="BG151" s="545">
        <f t="shared" si="209"/>
        <v>3.155337389326576E-3</v>
      </c>
      <c r="BH151" s="545">
        <f t="shared" si="210"/>
        <v>2.6823018292682934E-2</v>
      </c>
      <c r="BI151">
        <f t="shared" si="211"/>
        <v>6.2640000000000005E-3</v>
      </c>
      <c r="BK151" s="471">
        <f t="shared" si="212"/>
        <v>101.66506230236156</v>
      </c>
      <c r="BL151" s="178">
        <f t="shared" si="213"/>
        <v>4.9200000000000001E-2</v>
      </c>
      <c r="BM151" s="178">
        <f t="shared" si="214"/>
        <v>2.46E-2</v>
      </c>
      <c r="BN151" s="545"/>
      <c r="BP151" s="471">
        <f t="shared" si="215"/>
        <v>73.800000000000011</v>
      </c>
      <c r="BQ151" s="545">
        <f t="shared" si="216"/>
        <v>4.9325917969527001E-3</v>
      </c>
      <c r="BR151" s="545">
        <f t="shared" si="217"/>
        <v>1.6479413023890086E-2</v>
      </c>
      <c r="BS151" s="545">
        <f t="shared" si="218"/>
        <v>4.577614728858358E-3</v>
      </c>
      <c r="BT151" s="545">
        <f t="shared" si="219"/>
        <v>1.091613918600394E-2</v>
      </c>
      <c r="BU151" s="545"/>
      <c r="BV151" s="655">
        <f t="shared" si="250"/>
        <v>1.6646616541353385E-2</v>
      </c>
      <c r="BW151" s="471">
        <f t="shared" si="221"/>
        <v>53.552375277058474</v>
      </c>
      <c r="BX151" s="178">
        <f t="shared" si="222"/>
        <v>0.22901743757942009</v>
      </c>
      <c r="BY151" s="5">
        <f t="shared" si="223"/>
        <v>2.952</v>
      </c>
      <c r="BZ151" s="178">
        <f t="shared" si="224"/>
        <v>0.92800497259968184</v>
      </c>
      <c r="CA151" s="5">
        <f t="shared" si="225"/>
        <v>92.800497259968182</v>
      </c>
      <c r="CB151">
        <f t="shared" si="226"/>
        <v>41</v>
      </c>
      <c r="CD151" s="580">
        <f t="shared" si="251"/>
        <v>-50</v>
      </c>
      <c r="CE151">
        <f t="shared" si="252"/>
        <v>-50</v>
      </c>
    </row>
    <row r="152" spans="5:83" x14ac:dyDescent="0.2">
      <c r="E152" s="175">
        <v>42</v>
      </c>
      <c r="F152" s="222">
        <f t="shared" si="253"/>
        <v>0.16800000000000001</v>
      </c>
      <c r="G152" s="222">
        <f t="shared" si="234"/>
        <v>8.4000000000000005E-2</v>
      </c>
      <c r="H152" s="222">
        <f t="shared" si="235"/>
        <v>2.016</v>
      </c>
      <c r="I152" s="222">
        <f t="shared" si="236"/>
        <v>1.008</v>
      </c>
      <c r="J152" s="558">
        <f t="shared" si="171"/>
        <v>21.6</v>
      </c>
      <c r="K152" s="453">
        <f t="shared" si="172"/>
        <v>24.5</v>
      </c>
      <c r="L152" s="453">
        <f t="shared" si="173"/>
        <v>46.1</v>
      </c>
      <c r="M152" s="453"/>
      <c r="N152" s="222">
        <f t="shared" si="174"/>
        <v>0.53145336225596529</v>
      </c>
      <c r="O152" s="177">
        <f t="shared" si="237"/>
        <v>5.2709544468546632</v>
      </c>
      <c r="P152" s="177">
        <f t="shared" si="238"/>
        <v>3.9532158351409978</v>
      </c>
      <c r="Q152" s="222">
        <f t="shared" si="177"/>
        <v>0.43924620390455527</v>
      </c>
      <c r="R152" s="222">
        <f t="shared" si="239"/>
        <v>0.43924620390455527</v>
      </c>
      <c r="S152" s="222">
        <f t="shared" si="240"/>
        <v>12</v>
      </c>
      <c r="T152" s="222">
        <f t="shared" si="241"/>
        <v>0.55458646616541352</v>
      </c>
      <c r="U152" s="222">
        <f t="shared" si="181"/>
        <v>2.1567251461988306</v>
      </c>
      <c r="V152" s="222">
        <f t="shared" si="182"/>
        <v>1.9014393125671321</v>
      </c>
      <c r="W152" s="202">
        <f t="shared" si="183"/>
        <v>350</v>
      </c>
      <c r="X152" s="453">
        <f t="shared" si="184"/>
        <v>246.41682469026591</v>
      </c>
      <c r="Z152" s="222">
        <f t="shared" si="185"/>
        <v>0.39045553145336231</v>
      </c>
      <c r="AA152" s="178">
        <f t="shared" si="186"/>
        <v>1.3387046792686708</v>
      </c>
      <c r="AB152" s="178">
        <f t="shared" si="242"/>
        <v>0.12196441763402208</v>
      </c>
      <c r="AC152" s="178"/>
      <c r="AD152" s="178">
        <f t="shared" si="188"/>
        <v>0.99428571428571422</v>
      </c>
      <c r="AE152" s="562">
        <f t="shared" si="243"/>
        <v>582.63971462544612</v>
      </c>
      <c r="AF152" s="545">
        <f t="shared" si="244"/>
        <v>0.10091999999999998</v>
      </c>
      <c r="AH152" s="178">
        <f t="shared" si="245"/>
        <v>0.45355736761107268</v>
      </c>
      <c r="AI152" s="178">
        <f t="shared" si="246"/>
        <v>0.55458646616541352</v>
      </c>
      <c r="AJ152" s="178">
        <f t="shared" si="247"/>
        <v>1.3959899749373432</v>
      </c>
      <c r="AL152" s="562">
        <f t="shared" si="248"/>
        <v>168</v>
      </c>
      <c r="AM152" s="471">
        <f t="shared" si="249"/>
        <v>246.41682469026591</v>
      </c>
      <c r="AO152" s="471">
        <f t="shared" si="196"/>
        <v>168</v>
      </c>
      <c r="AP152" s="471">
        <f t="shared" si="197"/>
        <v>246.41682469026591</v>
      </c>
      <c r="AR152" s="5">
        <f t="shared" si="233"/>
        <v>4.0581644587659627</v>
      </c>
      <c r="AS152" s="5">
        <f t="shared" si="230"/>
        <v>2.1567251461988306</v>
      </c>
      <c r="AT152" s="5">
        <f t="shared" si="231"/>
        <v>1.9014393125671321</v>
      </c>
      <c r="AU152" s="178">
        <f t="shared" si="232"/>
        <v>0.53145336225596529</v>
      </c>
      <c r="AW152" s="5">
        <f t="shared" si="201"/>
        <v>3.0194152046783631</v>
      </c>
      <c r="AX152" s="5">
        <f t="shared" si="202"/>
        <v>1.5097076023391816</v>
      </c>
      <c r="AY152" s="5">
        <f t="shared" si="203"/>
        <v>0.15567339401134411</v>
      </c>
      <c r="AZ152" s="5"/>
      <c r="BA152" s="178">
        <f t="shared" si="204"/>
        <v>0.23342169544404062</v>
      </c>
      <c r="BB152" s="178">
        <f t="shared" si="205"/>
        <v>0.43834398173417793</v>
      </c>
      <c r="BC152" s="178">
        <f t="shared" si="206"/>
        <v>0.21917199086708897</v>
      </c>
      <c r="BD152" s="178"/>
      <c r="BE152" s="545">
        <f t="shared" si="207"/>
        <v>1.9069990766389659E-2</v>
      </c>
      <c r="BF152" s="545">
        <f t="shared" si="208"/>
        <v>4.725E-2</v>
      </c>
      <c r="BG152" s="545">
        <f t="shared" si="209"/>
        <v>3.0802103086283237E-3</v>
      </c>
      <c r="BH152" s="545">
        <f t="shared" si="210"/>
        <v>2.6184375000000003E-2</v>
      </c>
      <c r="BI152">
        <f t="shared" si="211"/>
        <v>6.2640000000000005E-3</v>
      </c>
      <c r="BK152" s="471">
        <f t="shared" si="212"/>
        <v>101.84857607501797</v>
      </c>
      <c r="BL152" s="178">
        <f t="shared" si="213"/>
        <v>5.04E-2</v>
      </c>
      <c r="BM152" s="178">
        <f t="shared" si="214"/>
        <v>2.52E-2</v>
      </c>
      <c r="BN152" s="545"/>
      <c r="BP152" s="471">
        <f t="shared" si="215"/>
        <v>75.599999999999994</v>
      </c>
      <c r="BQ152" s="545">
        <f t="shared" si="216"/>
        <v>5.1761403508771928E-3</v>
      </c>
      <c r="BR152" s="545">
        <f t="shared" si="217"/>
        <v>1.7293090169031598E-2</v>
      </c>
      <c r="BS152" s="545">
        <f t="shared" si="218"/>
        <v>4.8036361580643333E-3</v>
      </c>
      <c r="BT152" s="545">
        <f t="shared" si="219"/>
        <v>1.0916139186003952E-2</v>
      </c>
      <c r="BU152" s="545"/>
      <c r="BV152" s="655">
        <f t="shared" si="250"/>
        <v>1.7052631578947371E-2</v>
      </c>
      <c r="BW152" s="471">
        <f t="shared" si="221"/>
        <v>55.241637442924443</v>
      </c>
      <c r="BX152" s="178">
        <f t="shared" si="222"/>
        <v>0.23269021351794242</v>
      </c>
      <c r="BY152" s="5">
        <f t="shared" si="223"/>
        <v>3.024</v>
      </c>
      <c r="BZ152" s="178">
        <f t="shared" si="224"/>
        <v>0.92855009280523937</v>
      </c>
      <c r="CA152" s="5">
        <f t="shared" si="225"/>
        <v>92.85500928052393</v>
      </c>
      <c r="CB152">
        <f t="shared" si="226"/>
        <v>42</v>
      </c>
      <c r="CD152" s="580">
        <f t="shared" si="251"/>
        <v>-50</v>
      </c>
      <c r="CE152">
        <f t="shared" si="252"/>
        <v>-50</v>
      </c>
    </row>
    <row r="153" spans="5:83" x14ac:dyDescent="0.2">
      <c r="E153" s="175">
        <v>43</v>
      </c>
      <c r="F153" s="222">
        <f t="shared" si="253"/>
        <v>0.17200000000000001</v>
      </c>
      <c r="G153" s="222">
        <f t="shared" si="234"/>
        <v>8.6000000000000007E-2</v>
      </c>
      <c r="H153" s="222">
        <f t="shared" si="235"/>
        <v>2.0640000000000001</v>
      </c>
      <c r="I153" s="222">
        <f t="shared" si="236"/>
        <v>1.032</v>
      </c>
      <c r="J153" s="558">
        <f t="shared" si="171"/>
        <v>21.6</v>
      </c>
      <c r="K153" s="453">
        <f t="shared" si="172"/>
        <v>24.5</v>
      </c>
      <c r="L153" s="453">
        <f t="shared" si="173"/>
        <v>46.1</v>
      </c>
      <c r="M153" s="453"/>
      <c r="N153" s="222">
        <f t="shared" si="174"/>
        <v>0.53145336225596529</v>
      </c>
      <c r="O153" s="177">
        <f t="shared" si="237"/>
        <v>5.2709544468546632</v>
      </c>
      <c r="P153" s="177">
        <f t="shared" si="238"/>
        <v>3.9532158351409978</v>
      </c>
      <c r="Q153" s="222">
        <f t="shared" si="177"/>
        <v>0.43924620390455527</v>
      </c>
      <c r="R153" s="222">
        <f t="shared" si="239"/>
        <v>0.43924620390455527</v>
      </c>
      <c r="S153" s="222">
        <f t="shared" si="240"/>
        <v>12</v>
      </c>
      <c r="T153" s="222">
        <f t="shared" si="241"/>
        <v>0.56779090583601866</v>
      </c>
      <c r="U153" s="222">
        <f t="shared" si="181"/>
        <v>2.2080757449178501</v>
      </c>
      <c r="V153" s="222">
        <f t="shared" si="182"/>
        <v>1.9467116771520638</v>
      </c>
      <c r="W153" s="202">
        <f t="shared" si="183"/>
        <v>350</v>
      </c>
      <c r="X153" s="453">
        <f t="shared" si="184"/>
        <v>240.6862008602597</v>
      </c>
      <c r="Z153" s="222">
        <f t="shared" si="185"/>
        <v>0.39045553145336231</v>
      </c>
      <c r="AA153" s="178">
        <f t="shared" si="186"/>
        <v>1.3387046792686708</v>
      </c>
      <c r="AB153" s="178">
        <f t="shared" si="242"/>
        <v>0.12196441763402208</v>
      </c>
      <c r="AC153" s="178"/>
      <c r="AD153" s="178">
        <f t="shared" si="188"/>
        <v>0.99428571428571422</v>
      </c>
      <c r="AE153" s="562">
        <f t="shared" si="243"/>
        <v>596.51208878319483</v>
      </c>
      <c r="AF153" s="545">
        <f t="shared" si="244"/>
        <v>0.10091999999999998</v>
      </c>
      <c r="AH153" s="178">
        <f t="shared" si="245"/>
        <v>0.45892509726311459</v>
      </c>
      <c r="AI153" s="178">
        <f t="shared" si="246"/>
        <v>0.56779090583601866</v>
      </c>
      <c r="AJ153" s="178">
        <f t="shared" si="247"/>
        <v>1.4057710413600137</v>
      </c>
      <c r="AL153" s="562">
        <f t="shared" si="248"/>
        <v>172</v>
      </c>
      <c r="AM153" s="471">
        <f t="shared" si="249"/>
        <v>240.6862008602597</v>
      </c>
      <c r="AO153" s="471">
        <f t="shared" si="196"/>
        <v>172</v>
      </c>
      <c r="AP153" s="471">
        <f t="shared" si="197"/>
        <v>240.6862008602597</v>
      </c>
      <c r="AR153" s="5">
        <f t="shared" si="233"/>
        <v>4.1547874220699148</v>
      </c>
      <c r="AS153" s="5">
        <f t="shared" si="230"/>
        <v>2.2080757449178501</v>
      </c>
      <c r="AT153" s="5">
        <f t="shared" si="231"/>
        <v>1.9467116771520647</v>
      </c>
      <c r="AU153" s="178">
        <f t="shared" si="232"/>
        <v>0.53145336225596518</v>
      </c>
      <c r="AW153" s="5">
        <f t="shared" si="201"/>
        <v>3.1649085677155853</v>
      </c>
      <c r="AX153" s="5">
        <f t="shared" si="202"/>
        <v>1.5824542838577926</v>
      </c>
      <c r="AY153" s="5">
        <f t="shared" si="203"/>
        <v>0.16317466299715161</v>
      </c>
      <c r="AZ153" s="5"/>
      <c r="BA153" s="178">
        <f t="shared" si="204"/>
        <v>0.23897935485937491</v>
      </c>
      <c r="BB153" s="178">
        <f t="shared" si="205"/>
        <v>0.44878074320403943</v>
      </c>
      <c r="BC153" s="178">
        <f t="shared" si="206"/>
        <v>0.22439037160201972</v>
      </c>
      <c r="BD153" s="178"/>
      <c r="BE153" s="545">
        <f t="shared" si="207"/>
        <v>1.9988896217151064E-2</v>
      </c>
      <c r="BF153" s="545">
        <f t="shared" si="208"/>
        <v>4.725E-2</v>
      </c>
      <c r="BG153" s="545">
        <f t="shared" si="209"/>
        <v>3.0085775107532462E-3</v>
      </c>
      <c r="BH153" s="545">
        <f t="shared" si="210"/>
        <v>2.5575436046511628E-2</v>
      </c>
      <c r="BI153">
        <f t="shared" si="211"/>
        <v>6.2640000000000005E-3</v>
      </c>
      <c r="BK153" s="471">
        <f t="shared" si="212"/>
        <v>102.08690977441594</v>
      </c>
      <c r="BL153" s="178">
        <f t="shared" si="213"/>
        <v>5.16E-2</v>
      </c>
      <c r="BM153" s="178">
        <f t="shared" si="214"/>
        <v>2.58E-2</v>
      </c>
      <c r="BN153" s="545"/>
      <c r="BP153" s="471">
        <f t="shared" si="215"/>
        <v>77.399999999999991</v>
      </c>
      <c r="BQ153" s="545">
        <f t="shared" si="216"/>
        <v>5.4255575446552889E-3</v>
      </c>
      <c r="BR153" s="545">
        <f t="shared" si="217"/>
        <v>1.8126373992369299E-2</v>
      </c>
      <c r="BS153" s="545">
        <f t="shared" si="218"/>
        <v>5.03510388676925E-3</v>
      </c>
      <c r="BT153" s="545">
        <f t="shared" si="219"/>
        <v>1.0916139186003931E-2</v>
      </c>
      <c r="BU153" s="545"/>
      <c r="BV153" s="655">
        <f t="shared" si="250"/>
        <v>1.7458646616541354E-2</v>
      </c>
      <c r="BW153" s="471">
        <f t="shared" si="221"/>
        <v>56.961821226339126</v>
      </c>
      <c r="BX153" s="178">
        <f t="shared" si="222"/>
        <v>0.23644873100075503</v>
      </c>
      <c r="BY153" s="5">
        <f t="shared" si="223"/>
        <v>3.0960000000000001</v>
      </c>
      <c r="BZ153" s="178">
        <f t="shared" si="224"/>
        <v>0.92904655102383282</v>
      </c>
      <c r="CA153" s="5">
        <f t="shared" si="225"/>
        <v>92.904655102383288</v>
      </c>
      <c r="CB153">
        <f t="shared" si="226"/>
        <v>43</v>
      </c>
      <c r="CD153" s="580">
        <f t="shared" si="251"/>
        <v>-50</v>
      </c>
      <c r="CE153">
        <f t="shared" si="252"/>
        <v>-50</v>
      </c>
    </row>
    <row r="154" spans="5:83" x14ac:dyDescent="0.2">
      <c r="E154" s="175">
        <v>44</v>
      </c>
      <c r="F154" s="222">
        <f t="shared" si="253"/>
        <v>0.17600000000000002</v>
      </c>
      <c r="G154" s="222">
        <f t="shared" si="234"/>
        <v>8.8000000000000009E-2</v>
      </c>
      <c r="H154" s="222">
        <f t="shared" si="235"/>
        <v>2.1120000000000001</v>
      </c>
      <c r="I154" s="222">
        <f t="shared" si="236"/>
        <v>1.056</v>
      </c>
      <c r="J154" s="558">
        <f t="shared" si="171"/>
        <v>21.6</v>
      </c>
      <c r="K154" s="453">
        <f t="shared" si="172"/>
        <v>24.5</v>
      </c>
      <c r="L154" s="453">
        <f t="shared" si="173"/>
        <v>46.1</v>
      </c>
      <c r="M154" s="453"/>
      <c r="N154" s="222">
        <f t="shared" si="174"/>
        <v>0.53145336225596529</v>
      </c>
      <c r="O154" s="177">
        <f t="shared" si="237"/>
        <v>5.2709544468546632</v>
      </c>
      <c r="P154" s="177">
        <f t="shared" si="238"/>
        <v>3.9532158351409978</v>
      </c>
      <c r="Q154" s="222">
        <f t="shared" si="177"/>
        <v>0.43924620390455527</v>
      </c>
      <c r="R154" s="222">
        <f t="shared" si="239"/>
        <v>0.43924620390455527</v>
      </c>
      <c r="S154" s="222">
        <f t="shared" si="240"/>
        <v>12</v>
      </c>
      <c r="T154" s="222">
        <f t="shared" si="241"/>
        <v>0.58099534550662368</v>
      </c>
      <c r="U154" s="222">
        <f t="shared" si="181"/>
        <v>2.2594263436368696</v>
      </c>
      <c r="V154" s="222">
        <f t="shared" si="182"/>
        <v>1.9919840417369954</v>
      </c>
      <c r="W154" s="202">
        <f t="shared" si="183"/>
        <v>350</v>
      </c>
      <c r="X154" s="453">
        <f t="shared" si="184"/>
        <v>235.21605993161748</v>
      </c>
      <c r="Z154" s="222">
        <f t="shared" si="185"/>
        <v>0.39045553145336231</v>
      </c>
      <c r="AA154" s="178">
        <f t="shared" si="186"/>
        <v>1.3387046792686708</v>
      </c>
      <c r="AB154" s="178">
        <f t="shared" si="242"/>
        <v>0.12196441763402208</v>
      </c>
      <c r="AC154" s="178"/>
      <c r="AD154" s="178">
        <f t="shared" si="188"/>
        <v>0.99428571428571422</v>
      </c>
      <c r="AE154" s="562">
        <f t="shared" si="243"/>
        <v>610.38446294094354</v>
      </c>
      <c r="AF154" s="545">
        <f t="shared" si="244"/>
        <v>0.10091999999999998</v>
      </c>
      <c r="AH154" s="178">
        <f t="shared" si="245"/>
        <v>0.46423076597919777</v>
      </c>
      <c r="AI154" s="178">
        <f t="shared" si="246"/>
        <v>0.58099534550662368</v>
      </c>
      <c r="AJ154" s="178">
        <f t="shared" si="247"/>
        <v>1.4155521077826843</v>
      </c>
      <c r="AL154" s="562">
        <f t="shared" si="248"/>
        <v>176.00000000000003</v>
      </c>
      <c r="AM154" s="471">
        <f t="shared" si="249"/>
        <v>235.21605993161748</v>
      </c>
      <c r="AO154" s="471">
        <f t="shared" si="196"/>
        <v>176.00000000000003</v>
      </c>
      <c r="AP154" s="471">
        <f t="shared" si="197"/>
        <v>235.21605993161748</v>
      </c>
      <c r="AR154" s="5">
        <f t="shared" si="233"/>
        <v>4.2514103853738652</v>
      </c>
      <c r="AS154" s="5">
        <f t="shared" si="230"/>
        <v>2.2594263436368696</v>
      </c>
      <c r="AT154" s="5">
        <f t="shared" si="231"/>
        <v>1.9919840417369956</v>
      </c>
      <c r="AU154" s="178">
        <f t="shared" si="232"/>
        <v>0.53145336225596529</v>
      </c>
      <c r="AW154" s="5">
        <f t="shared" si="201"/>
        <v>3.3138253040007424</v>
      </c>
      <c r="AX154" s="5">
        <f t="shared" si="202"/>
        <v>1.6569126520003712</v>
      </c>
      <c r="AY154" s="5">
        <f t="shared" si="203"/>
        <v>0.17085243242968381</v>
      </c>
      <c r="AZ154" s="5"/>
      <c r="BA154" s="178">
        <f t="shared" si="204"/>
        <v>0.24453701427470922</v>
      </c>
      <c r="BB154" s="178">
        <f t="shared" si="205"/>
        <v>0.45921750467390071</v>
      </c>
      <c r="BC154" s="178">
        <f t="shared" si="206"/>
        <v>0.22960875233695036</v>
      </c>
      <c r="BD154" s="178"/>
      <c r="BE154" s="545">
        <f t="shared" si="207"/>
        <v>2.092942297263627E-2</v>
      </c>
      <c r="BF154" s="545">
        <f t="shared" si="208"/>
        <v>4.725E-2</v>
      </c>
      <c r="BG154" s="545">
        <f t="shared" si="209"/>
        <v>2.9402007491452181E-3</v>
      </c>
      <c r="BH154" s="545">
        <f t="shared" si="210"/>
        <v>2.4994176136363639E-2</v>
      </c>
      <c r="BI154">
        <f t="shared" si="211"/>
        <v>6.2640000000000005E-3</v>
      </c>
      <c r="BK154" s="471">
        <f t="shared" si="212"/>
        <v>102.37779985814512</v>
      </c>
      <c r="BL154" s="178">
        <f t="shared" si="213"/>
        <v>5.2800000000000007E-2</v>
      </c>
      <c r="BM154" s="178">
        <f t="shared" si="214"/>
        <v>2.6400000000000003E-2</v>
      </c>
      <c r="BN154" s="545"/>
      <c r="BP154" s="471">
        <f t="shared" si="215"/>
        <v>79.2</v>
      </c>
      <c r="BQ154" s="545">
        <f t="shared" si="216"/>
        <v>5.6808433782869873E-3</v>
      </c>
      <c r="BR154" s="545">
        <f t="shared" si="217"/>
        <v>1.8979264493903161E-2</v>
      </c>
      <c r="BS154" s="545">
        <f t="shared" si="218"/>
        <v>5.2720179149731011E-3</v>
      </c>
      <c r="BT154" s="545">
        <f t="shared" si="219"/>
        <v>1.0916139186003935E-2</v>
      </c>
      <c r="BU154" s="545"/>
      <c r="BV154" s="655">
        <f t="shared" si="250"/>
        <v>1.786466165413534E-2</v>
      </c>
      <c r="BW154" s="471">
        <f t="shared" si="221"/>
        <v>58.712926627302522</v>
      </c>
      <c r="BX154" s="178">
        <f t="shared" si="222"/>
        <v>0.24029072648544766</v>
      </c>
      <c r="BY154" s="5">
        <f t="shared" si="223"/>
        <v>3.1680000000000001</v>
      </c>
      <c r="BZ154" s="178">
        <f t="shared" si="224"/>
        <v>0.92949817202559182</v>
      </c>
      <c r="CA154" s="5">
        <f t="shared" si="225"/>
        <v>92.949817202559188</v>
      </c>
      <c r="CB154">
        <f t="shared" si="226"/>
        <v>44</v>
      </c>
      <c r="CD154" s="580">
        <f t="shared" si="251"/>
        <v>-50</v>
      </c>
      <c r="CE154">
        <f t="shared" si="252"/>
        <v>-50</v>
      </c>
    </row>
    <row r="155" spans="5:83" x14ac:dyDescent="0.2">
      <c r="E155" s="175">
        <v>45</v>
      </c>
      <c r="F155" s="222">
        <f t="shared" si="253"/>
        <v>0.18000000000000002</v>
      </c>
      <c r="G155" s="222">
        <f t="shared" si="234"/>
        <v>9.0000000000000011E-2</v>
      </c>
      <c r="H155" s="222">
        <f t="shared" si="235"/>
        <v>2.16</v>
      </c>
      <c r="I155" s="222">
        <f t="shared" si="236"/>
        <v>1.08</v>
      </c>
      <c r="J155" s="558">
        <f t="shared" si="171"/>
        <v>21.6</v>
      </c>
      <c r="K155" s="453">
        <f t="shared" si="172"/>
        <v>24.5</v>
      </c>
      <c r="L155" s="453">
        <f t="shared" si="173"/>
        <v>46.1</v>
      </c>
      <c r="M155" s="453"/>
      <c r="N155" s="222">
        <f t="shared" si="174"/>
        <v>0.53145336225596529</v>
      </c>
      <c r="O155" s="177">
        <f t="shared" si="237"/>
        <v>5.2709544468546632</v>
      </c>
      <c r="P155" s="177">
        <f t="shared" si="238"/>
        <v>3.9532158351409978</v>
      </c>
      <c r="Q155" s="222">
        <f t="shared" si="177"/>
        <v>0.43924620390455527</v>
      </c>
      <c r="R155" s="222">
        <f t="shared" si="239"/>
        <v>0.43924620390455527</v>
      </c>
      <c r="S155" s="222">
        <f t="shared" si="240"/>
        <v>12</v>
      </c>
      <c r="T155" s="222">
        <f t="shared" si="241"/>
        <v>0.59419978517722882</v>
      </c>
      <c r="U155" s="222">
        <f t="shared" si="181"/>
        <v>2.3107769423558899</v>
      </c>
      <c r="V155" s="222">
        <f t="shared" si="182"/>
        <v>2.0372564063219269</v>
      </c>
      <c r="W155" s="202">
        <f t="shared" si="183"/>
        <v>350</v>
      </c>
      <c r="X155" s="453">
        <f t="shared" si="184"/>
        <v>229.98903637758153</v>
      </c>
      <c r="Z155" s="222">
        <f t="shared" si="185"/>
        <v>0.39045553145336231</v>
      </c>
      <c r="AA155" s="178">
        <f t="shared" si="186"/>
        <v>1.3387046792686708</v>
      </c>
      <c r="AB155" s="178">
        <f t="shared" si="242"/>
        <v>0.12196441763402208</v>
      </c>
      <c r="AC155" s="178"/>
      <c r="AD155" s="178">
        <f t="shared" si="188"/>
        <v>0.99428571428571422</v>
      </c>
      <c r="AE155" s="562">
        <f t="shared" si="243"/>
        <v>624.25683709869236</v>
      </c>
      <c r="AF155" s="545">
        <f t="shared" si="244"/>
        <v>0.10091999999999998</v>
      </c>
      <c r="AH155" s="178">
        <f t="shared" si="245"/>
        <v>0.46947647786157098</v>
      </c>
      <c r="AI155" s="178">
        <f t="shared" si="246"/>
        <v>0.59419978517722882</v>
      </c>
      <c r="AJ155" s="178">
        <f t="shared" si="247"/>
        <v>1.4253331742053548</v>
      </c>
      <c r="AL155" s="562">
        <f t="shared" si="248"/>
        <v>180.00000000000003</v>
      </c>
      <c r="AM155" s="471">
        <f t="shared" si="249"/>
        <v>229.98903637758153</v>
      </c>
      <c r="AO155" s="471">
        <f t="shared" si="196"/>
        <v>180.00000000000003</v>
      </c>
      <c r="AP155" s="471">
        <f t="shared" si="197"/>
        <v>229.98903637758153</v>
      </c>
      <c r="AR155" s="5">
        <f t="shared" si="233"/>
        <v>4.3480333486778173</v>
      </c>
      <c r="AS155" s="5">
        <f t="shared" si="230"/>
        <v>2.3107769423558899</v>
      </c>
      <c r="AT155" s="5">
        <f t="shared" si="231"/>
        <v>2.0372564063219274</v>
      </c>
      <c r="AU155" s="178">
        <f t="shared" si="232"/>
        <v>0.53145336225596529</v>
      </c>
      <c r="AW155" s="5">
        <f t="shared" si="201"/>
        <v>3.4661654135338349</v>
      </c>
      <c r="AX155" s="5">
        <f t="shared" si="202"/>
        <v>1.7330827067669174</v>
      </c>
      <c r="AY155" s="5">
        <f t="shared" si="203"/>
        <v>0.17870670230894098</v>
      </c>
      <c r="AZ155" s="5"/>
      <c r="BA155" s="178">
        <f t="shared" si="204"/>
        <v>0.25009467369004357</v>
      </c>
      <c r="BB155" s="178">
        <f t="shared" si="205"/>
        <v>0.4696542661437621</v>
      </c>
      <c r="BC155" s="178">
        <f t="shared" si="206"/>
        <v>0.23482713307188105</v>
      </c>
      <c r="BD155" s="178"/>
      <c r="BE155" s="545">
        <f t="shared" si="207"/>
        <v>2.1891571032845281E-2</v>
      </c>
      <c r="BF155" s="545">
        <f t="shared" si="208"/>
        <v>4.725E-2</v>
      </c>
      <c r="BG155" s="545">
        <f t="shared" si="209"/>
        <v>2.8748629547197691E-3</v>
      </c>
      <c r="BH155" s="545">
        <f t="shared" si="210"/>
        <v>2.4438750000000002E-2</v>
      </c>
      <c r="BI155">
        <f t="shared" si="211"/>
        <v>6.2640000000000005E-3</v>
      </c>
      <c r="BK155" s="471">
        <f t="shared" si="212"/>
        <v>102.71918398756506</v>
      </c>
      <c r="BL155" s="178">
        <f t="shared" si="213"/>
        <v>5.4000000000000006E-2</v>
      </c>
      <c r="BM155" s="178">
        <f t="shared" si="214"/>
        <v>2.7000000000000003E-2</v>
      </c>
      <c r="BN155" s="545"/>
      <c r="BP155" s="471">
        <f t="shared" si="215"/>
        <v>81.000000000000014</v>
      </c>
      <c r="BQ155" s="545">
        <f t="shared" si="216"/>
        <v>5.9419978517722908E-3</v>
      </c>
      <c r="BR155" s="545">
        <f t="shared" si="217"/>
        <v>1.9851761673633214E-2</v>
      </c>
      <c r="BS155" s="545">
        <f t="shared" si="218"/>
        <v>5.5143782426758936E-3</v>
      </c>
      <c r="BT155" s="545">
        <f t="shared" si="219"/>
        <v>1.091613918600395E-2</v>
      </c>
      <c r="BU155" s="545"/>
      <c r="BV155" s="655">
        <f t="shared" si="250"/>
        <v>1.8270676691729326E-2</v>
      </c>
      <c r="BW155" s="471">
        <f t="shared" si="221"/>
        <v>60.494953645814668</v>
      </c>
      <c r="BX155" s="178">
        <f t="shared" si="222"/>
        <v>0.24421413763337974</v>
      </c>
      <c r="BY155" s="5">
        <f t="shared" si="223"/>
        <v>3.24</v>
      </c>
      <c r="BZ155" s="178">
        <f t="shared" si="224"/>
        <v>0.92990840172663447</v>
      </c>
      <c r="CA155" s="5">
        <f t="shared" si="225"/>
        <v>92.990840172663454</v>
      </c>
      <c r="CB155">
        <f t="shared" si="226"/>
        <v>45</v>
      </c>
      <c r="CD155" s="580">
        <f t="shared" si="251"/>
        <v>-50</v>
      </c>
      <c r="CE155">
        <f t="shared" si="252"/>
        <v>-50</v>
      </c>
    </row>
    <row r="156" spans="5:83" s="77" customFormat="1" x14ac:dyDescent="0.2">
      <c r="E156" s="194">
        <v>46</v>
      </c>
      <c r="F156" s="334">
        <f t="shared" si="253"/>
        <v>0.18400000000000002</v>
      </c>
      <c r="G156" s="222">
        <f t="shared" si="234"/>
        <v>9.2000000000000012E-2</v>
      </c>
      <c r="H156" s="334">
        <f t="shared" si="235"/>
        <v>2.2080000000000002</v>
      </c>
      <c r="I156" s="222">
        <f t="shared" si="236"/>
        <v>1.1040000000000001</v>
      </c>
      <c r="J156" s="558">
        <f t="shared" si="171"/>
        <v>21.6</v>
      </c>
      <c r="K156" s="552">
        <f t="shared" si="172"/>
        <v>24.5</v>
      </c>
      <c r="L156" s="552">
        <f t="shared" si="173"/>
        <v>46.1</v>
      </c>
      <c r="M156" s="552"/>
      <c r="N156" s="334">
        <f t="shared" si="174"/>
        <v>0.53145336225596529</v>
      </c>
      <c r="O156" s="177">
        <f t="shared" si="237"/>
        <v>5.2709544468546632</v>
      </c>
      <c r="P156" s="177">
        <f t="shared" si="238"/>
        <v>3.9532158351409978</v>
      </c>
      <c r="Q156" s="334">
        <f t="shared" si="177"/>
        <v>0.43924620390455527</v>
      </c>
      <c r="R156" s="222">
        <f t="shared" si="239"/>
        <v>0.43924620390455527</v>
      </c>
      <c r="S156" s="334">
        <f t="shared" si="240"/>
        <v>12</v>
      </c>
      <c r="T156" s="222">
        <f t="shared" si="241"/>
        <v>0.60740422484783396</v>
      </c>
      <c r="U156" s="334">
        <f t="shared" si="181"/>
        <v>2.3621275410749094</v>
      </c>
      <c r="V156" s="334">
        <f t="shared" si="182"/>
        <v>2.0825287709068592</v>
      </c>
      <c r="W156" s="554">
        <f t="shared" si="183"/>
        <v>350</v>
      </c>
      <c r="X156" s="552">
        <f t="shared" si="184"/>
        <v>224.98927471719929</v>
      </c>
      <c r="Z156" s="334">
        <f t="shared" si="185"/>
        <v>0.39045553145336231</v>
      </c>
      <c r="AA156" s="555">
        <f t="shared" si="186"/>
        <v>1.3387046792686708</v>
      </c>
      <c r="AB156" s="178">
        <f t="shared" si="242"/>
        <v>0.12196441763402208</v>
      </c>
      <c r="AC156" s="555"/>
      <c r="AD156" s="555">
        <f t="shared" si="188"/>
        <v>0.99428571428571422</v>
      </c>
      <c r="AE156" s="562">
        <f t="shared" si="243"/>
        <v>638.12921125644095</v>
      </c>
      <c r="AF156" s="545">
        <f t="shared" si="244"/>
        <v>0.10091999999999998</v>
      </c>
      <c r="AH156" s="178">
        <f t="shared" si="245"/>
        <v>0.47466422073817577</v>
      </c>
      <c r="AI156" s="555">
        <f t="shared" si="246"/>
        <v>0.60740422484783396</v>
      </c>
      <c r="AJ156" s="555">
        <f t="shared" si="247"/>
        <v>1.4351142406280251</v>
      </c>
      <c r="AL156" s="582">
        <f t="shared" si="248"/>
        <v>184.00000000000003</v>
      </c>
      <c r="AM156" s="583">
        <f t="shared" si="249"/>
        <v>224.98927471719929</v>
      </c>
      <c r="AO156" s="77">
        <f t="shared" si="196"/>
        <v>184.00000000000003</v>
      </c>
      <c r="AP156" s="77">
        <f t="shared" si="197"/>
        <v>224.98927471719929</v>
      </c>
      <c r="AR156" s="551">
        <f t="shared" si="233"/>
        <v>4.4446563119817686</v>
      </c>
      <c r="AS156" s="5">
        <f t="shared" si="230"/>
        <v>2.3621275410749094</v>
      </c>
      <c r="AT156" s="5">
        <f t="shared" si="231"/>
        <v>2.0825287709068592</v>
      </c>
      <c r="AU156" s="178">
        <f t="shared" si="232"/>
        <v>0.53145336225596529</v>
      </c>
      <c r="AW156" s="5">
        <f t="shared" si="201"/>
        <v>3.6219288963148615</v>
      </c>
      <c r="AX156" s="5">
        <f t="shared" si="202"/>
        <v>1.8109644481574307</v>
      </c>
      <c r="AY156" s="5">
        <f t="shared" si="203"/>
        <v>0.18673747263492305</v>
      </c>
      <c r="AZ156" s="5"/>
      <c r="BA156" s="178">
        <f t="shared" si="204"/>
        <v>0.25565233310537788</v>
      </c>
      <c r="BB156" s="178">
        <f t="shared" si="205"/>
        <v>0.48009102761362354</v>
      </c>
      <c r="BC156" s="178">
        <f t="shared" si="206"/>
        <v>0.24004551380681177</v>
      </c>
      <c r="BD156" s="178"/>
      <c r="BE156" s="545">
        <f t="shared" si="207"/>
        <v>2.2875340397778082E-2</v>
      </c>
      <c r="BF156" s="545">
        <f t="shared" si="208"/>
        <v>4.725E-2</v>
      </c>
      <c r="BG156" s="545">
        <f t="shared" si="209"/>
        <v>2.8123659339649911E-3</v>
      </c>
      <c r="BH156" s="545">
        <f t="shared" si="210"/>
        <v>2.3907472826086955E-2</v>
      </c>
      <c r="BI156">
        <f t="shared" si="211"/>
        <v>6.2640000000000005E-3</v>
      </c>
      <c r="BJ156"/>
      <c r="BK156" s="471">
        <f t="shared" si="212"/>
        <v>103.10917915783004</v>
      </c>
      <c r="BL156" s="178">
        <f t="shared" si="213"/>
        <v>5.5200000000000006E-2</v>
      </c>
      <c r="BM156" s="178">
        <f t="shared" si="214"/>
        <v>2.7600000000000003E-2</v>
      </c>
      <c r="BN156" s="545"/>
      <c r="BO156"/>
      <c r="BP156" s="471">
        <f t="shared" si="215"/>
        <v>82.800000000000011</v>
      </c>
      <c r="BQ156" s="545">
        <f t="shared" si="216"/>
        <v>6.2090209651111941E-3</v>
      </c>
      <c r="BR156" s="545">
        <f t="shared" si="217"/>
        <v>2.0743865531559453E-2</v>
      </c>
      <c r="BS156" s="545">
        <f t="shared" si="218"/>
        <v>5.7621848698776266E-3</v>
      </c>
      <c r="BT156" s="545">
        <f t="shared" si="219"/>
        <v>1.0916139186003947E-2</v>
      </c>
      <c r="BU156" s="545"/>
      <c r="BV156" s="655">
        <f t="shared" si="250"/>
        <v>1.8676691729323312E-2</v>
      </c>
      <c r="BW156" s="471">
        <f t="shared" si="221"/>
        <v>62.307902281875535</v>
      </c>
      <c r="BX156" s="178">
        <f t="shared" si="222"/>
        <v>0.24821708143970561</v>
      </c>
      <c r="BY156" s="5">
        <f t="shared" si="223"/>
        <v>3.3120000000000003</v>
      </c>
      <c r="BZ156" s="178">
        <f t="shared" si="224"/>
        <v>0.93028035207916882</v>
      </c>
      <c r="CA156" s="5">
        <f t="shared" si="225"/>
        <v>93.028035207916886</v>
      </c>
      <c r="CB156">
        <f t="shared" si="226"/>
        <v>46</v>
      </c>
      <c r="CD156" s="580">
        <f t="shared" si="251"/>
        <v>-50</v>
      </c>
      <c r="CE156">
        <f t="shared" si="252"/>
        <v>-50</v>
      </c>
    </row>
    <row r="157" spans="5:83" x14ac:dyDescent="0.2">
      <c r="E157" s="175">
        <v>47</v>
      </c>
      <c r="F157" s="222">
        <f t="shared" si="253"/>
        <v>0.188</v>
      </c>
      <c r="G157" s="222">
        <f t="shared" si="234"/>
        <v>9.4E-2</v>
      </c>
      <c r="H157" s="222">
        <f t="shared" si="235"/>
        <v>2.2560000000000002</v>
      </c>
      <c r="I157" s="222">
        <f t="shared" si="236"/>
        <v>1.1280000000000001</v>
      </c>
      <c r="J157" s="558">
        <f t="shared" si="171"/>
        <v>21.6</v>
      </c>
      <c r="K157" s="453">
        <f t="shared" si="172"/>
        <v>24.5</v>
      </c>
      <c r="L157" s="453">
        <f t="shared" si="173"/>
        <v>46.1</v>
      </c>
      <c r="M157" s="453"/>
      <c r="N157" s="222">
        <f t="shared" si="174"/>
        <v>0.53145336225596529</v>
      </c>
      <c r="O157" s="177">
        <f t="shared" si="237"/>
        <v>5.2709544468546632</v>
      </c>
      <c r="P157" s="177">
        <f t="shared" si="238"/>
        <v>3.9532158351409978</v>
      </c>
      <c r="Q157" s="222">
        <f t="shared" si="177"/>
        <v>0.43924620390455527</v>
      </c>
      <c r="R157" s="222">
        <f t="shared" si="239"/>
        <v>0.43924620390455527</v>
      </c>
      <c r="S157" s="222">
        <f t="shared" si="240"/>
        <v>12</v>
      </c>
      <c r="T157" s="222">
        <f t="shared" si="241"/>
        <v>0.62060866451843899</v>
      </c>
      <c r="U157" s="222">
        <f t="shared" si="181"/>
        <v>2.4134781397939289</v>
      </c>
      <c r="V157" s="222">
        <f t="shared" si="182"/>
        <v>2.1278011354917905</v>
      </c>
      <c r="W157" s="202">
        <f t="shared" si="183"/>
        <v>350</v>
      </c>
      <c r="X157" s="453">
        <f t="shared" si="184"/>
        <v>220.20226887215256</v>
      </c>
      <c r="Z157" s="222">
        <f t="shared" si="185"/>
        <v>0.39045553145336231</v>
      </c>
      <c r="AA157" s="178">
        <f t="shared" si="186"/>
        <v>1.3387046792686708</v>
      </c>
      <c r="AB157" s="178">
        <f t="shared" si="242"/>
        <v>0.12196441763402208</v>
      </c>
      <c r="AC157" s="178"/>
      <c r="AD157" s="178">
        <f t="shared" si="188"/>
        <v>0.99428571428571422</v>
      </c>
      <c r="AE157" s="562">
        <f t="shared" si="243"/>
        <v>652.00158541418966</v>
      </c>
      <c r="AF157" s="545">
        <f t="shared" si="244"/>
        <v>0.10091999999999998</v>
      </c>
      <c r="AH157" s="178">
        <f t="shared" si="245"/>
        <v>0.47979587496419046</v>
      </c>
      <c r="AI157" s="178">
        <f t="shared" si="246"/>
        <v>0.62060866451843899</v>
      </c>
      <c r="AJ157" s="178">
        <f t="shared" si="247"/>
        <v>1.4448953070506956</v>
      </c>
      <c r="AL157" s="562">
        <f t="shared" si="248"/>
        <v>188</v>
      </c>
      <c r="AM157" s="471">
        <f t="shared" si="249"/>
        <v>220.20226887215256</v>
      </c>
      <c r="AO157">
        <f t="shared" si="196"/>
        <v>188</v>
      </c>
      <c r="AP157">
        <f t="shared" si="197"/>
        <v>220.20226887215256</v>
      </c>
      <c r="AR157" s="5">
        <f t="shared" si="233"/>
        <v>4.541279275285719</v>
      </c>
      <c r="AS157" s="5">
        <f t="shared" si="230"/>
        <v>2.4134781397939289</v>
      </c>
      <c r="AT157" s="5">
        <f t="shared" si="231"/>
        <v>2.1278011354917901</v>
      </c>
      <c r="AU157" s="178">
        <f t="shared" si="232"/>
        <v>0.53145336225596529</v>
      </c>
      <c r="AW157" s="5">
        <f t="shared" si="201"/>
        <v>3.7811157523438221</v>
      </c>
      <c r="AX157" s="5">
        <f t="shared" si="202"/>
        <v>1.8905578761719111</v>
      </c>
      <c r="AY157" s="5">
        <f t="shared" si="203"/>
        <v>0.19494474340762988</v>
      </c>
      <c r="AZ157" s="5"/>
      <c r="BA157" s="178">
        <f t="shared" si="204"/>
        <v>0.26120999252071214</v>
      </c>
      <c r="BB157" s="178">
        <f t="shared" si="205"/>
        <v>0.49052778908348488</v>
      </c>
      <c r="BC157" s="178">
        <f t="shared" si="206"/>
        <v>0.24526389454174244</v>
      </c>
      <c r="BD157" s="178"/>
      <c r="BE157" s="545">
        <f t="shared" si="207"/>
        <v>2.3880731067434671E-2</v>
      </c>
      <c r="BF157" s="545">
        <f t="shared" si="208"/>
        <v>4.7250000000000007E-2</v>
      </c>
      <c r="BG157" s="545">
        <f t="shared" si="209"/>
        <v>2.7525283609019071E-3</v>
      </c>
      <c r="BH157" s="545">
        <f t="shared" si="210"/>
        <v>2.3398803191489369E-2</v>
      </c>
      <c r="BI157">
        <f t="shared" si="211"/>
        <v>6.2640000000000005E-3</v>
      </c>
      <c r="BK157" s="471">
        <f t="shared" si="212"/>
        <v>103.54606261982595</v>
      </c>
      <c r="BL157" s="178">
        <f t="shared" si="213"/>
        <v>5.6399999999999999E-2</v>
      </c>
      <c r="BM157" s="178">
        <f t="shared" si="214"/>
        <v>2.8199999999999999E-2</v>
      </c>
      <c r="BN157" s="545"/>
      <c r="BP157" s="471">
        <f t="shared" si="215"/>
        <v>84.6</v>
      </c>
      <c r="BQ157" s="545">
        <f t="shared" si="216"/>
        <v>6.4819127183036963E-3</v>
      </c>
      <c r="BR157" s="545">
        <f t="shared" si="217"/>
        <v>2.1655576067681863E-2</v>
      </c>
      <c r="BS157" s="545">
        <f t="shared" si="218"/>
        <v>6.0154377965782957E-3</v>
      </c>
      <c r="BT157" s="545">
        <f t="shared" si="219"/>
        <v>1.0916139186003955E-2</v>
      </c>
      <c r="BU157" s="545"/>
      <c r="BV157" s="655">
        <f t="shared" si="250"/>
        <v>1.9082706766917302E-2</v>
      </c>
      <c r="BW157" s="471">
        <f t="shared" si="221"/>
        <v>64.151772535485108</v>
      </c>
      <c r="BX157" s="178">
        <f t="shared" si="222"/>
        <v>0.25229783515531107</v>
      </c>
      <c r="BY157" s="5">
        <f t="shared" si="223"/>
        <v>3.3840000000000003</v>
      </c>
      <c r="BZ157" s="178">
        <f t="shared" si="224"/>
        <v>0.93061683982095067</v>
      </c>
      <c r="CA157" s="5">
        <f t="shared" si="225"/>
        <v>93.061683982095062</v>
      </c>
      <c r="CB157">
        <f t="shared" si="226"/>
        <v>47</v>
      </c>
      <c r="CD157" s="580">
        <f t="shared" si="251"/>
        <v>-50</v>
      </c>
      <c r="CE157">
        <f t="shared" si="252"/>
        <v>-50</v>
      </c>
    </row>
    <row r="158" spans="5:83" x14ac:dyDescent="0.2">
      <c r="E158" s="175">
        <v>48</v>
      </c>
      <c r="F158" s="222">
        <f t="shared" si="253"/>
        <v>0.192</v>
      </c>
      <c r="G158" s="222">
        <f t="shared" si="234"/>
        <v>9.6000000000000002E-2</v>
      </c>
      <c r="H158" s="222">
        <f t="shared" si="235"/>
        <v>2.3040000000000003</v>
      </c>
      <c r="I158" s="222">
        <f t="shared" si="236"/>
        <v>1.1520000000000001</v>
      </c>
      <c r="J158" s="558">
        <f t="shared" si="171"/>
        <v>21.6</v>
      </c>
      <c r="K158" s="453">
        <f t="shared" si="172"/>
        <v>24.5</v>
      </c>
      <c r="L158" s="453">
        <f t="shared" si="173"/>
        <v>46.1</v>
      </c>
      <c r="M158" s="453"/>
      <c r="N158" s="222">
        <f t="shared" si="174"/>
        <v>0.53145336225596529</v>
      </c>
      <c r="O158" s="177">
        <f t="shared" si="237"/>
        <v>5.2709544468546632</v>
      </c>
      <c r="P158" s="177">
        <f t="shared" si="238"/>
        <v>3.9532158351409978</v>
      </c>
      <c r="Q158" s="222">
        <f t="shared" si="177"/>
        <v>0.43924620390455527</v>
      </c>
      <c r="R158" s="222">
        <f t="shared" si="239"/>
        <v>0.43924620390455527</v>
      </c>
      <c r="S158" s="222">
        <f t="shared" si="240"/>
        <v>12</v>
      </c>
      <c r="T158" s="222">
        <f t="shared" si="241"/>
        <v>0.63381310418904413</v>
      </c>
      <c r="U158" s="222">
        <f t="shared" si="181"/>
        <v>2.4648287385129493</v>
      </c>
      <c r="V158" s="222">
        <f t="shared" si="182"/>
        <v>2.1730735000767227</v>
      </c>
      <c r="W158" s="202">
        <f t="shared" si="183"/>
        <v>350</v>
      </c>
      <c r="X158" s="453">
        <f t="shared" si="184"/>
        <v>215.61472160398264</v>
      </c>
      <c r="Z158" s="222">
        <f t="shared" si="185"/>
        <v>0.39045553145336231</v>
      </c>
      <c r="AA158" s="178">
        <f t="shared" si="186"/>
        <v>1.3387046792686708</v>
      </c>
      <c r="AB158" s="178">
        <f t="shared" si="242"/>
        <v>0.12196441763402208</v>
      </c>
      <c r="AC158" s="178"/>
      <c r="AD158" s="178">
        <f t="shared" si="188"/>
        <v>0.99428571428571422</v>
      </c>
      <c r="AE158" s="562">
        <f t="shared" si="243"/>
        <v>665.87395957193837</v>
      </c>
      <c r="AF158" s="545">
        <f t="shared" si="244"/>
        <v>0.10091999999999998</v>
      </c>
      <c r="AH158" s="178">
        <f t="shared" si="245"/>
        <v>0.48487322138506123</v>
      </c>
      <c r="AI158" s="178">
        <f t="shared" si="246"/>
        <v>0.63381310418904413</v>
      </c>
      <c r="AJ158" s="178">
        <f t="shared" si="247"/>
        <v>1.4546763734733661</v>
      </c>
      <c r="AL158" s="562">
        <f t="shared" si="248"/>
        <v>192</v>
      </c>
      <c r="AM158" s="471">
        <f t="shared" si="249"/>
        <v>215.61472160398264</v>
      </c>
      <c r="AO158">
        <f t="shared" si="196"/>
        <v>192</v>
      </c>
      <c r="AP158">
        <f t="shared" si="197"/>
        <v>215.61472160398264</v>
      </c>
      <c r="AR158" s="5">
        <f t="shared" si="233"/>
        <v>4.637902238589672</v>
      </c>
      <c r="AS158" s="5">
        <f t="shared" si="230"/>
        <v>2.4648287385129493</v>
      </c>
      <c r="AT158" s="5">
        <f t="shared" si="231"/>
        <v>2.1730735000767227</v>
      </c>
      <c r="AU158" s="178">
        <f t="shared" si="232"/>
        <v>0.53145336225596529</v>
      </c>
      <c r="AW158" s="5">
        <f t="shared" si="201"/>
        <v>3.9437259816207191</v>
      </c>
      <c r="AX158" s="5">
        <f t="shared" si="202"/>
        <v>1.9718629908103595</v>
      </c>
      <c r="AY158" s="5">
        <f t="shared" si="203"/>
        <v>0.20332851462706178</v>
      </c>
      <c r="AZ158" s="5"/>
      <c r="BA158" s="178">
        <f t="shared" si="204"/>
        <v>0.26676765193604646</v>
      </c>
      <c r="BB158" s="178">
        <f t="shared" si="205"/>
        <v>0.50096455055334632</v>
      </c>
      <c r="BC158" s="178">
        <f t="shared" si="206"/>
        <v>0.25048227527667316</v>
      </c>
      <c r="BD158" s="178"/>
      <c r="BE158" s="545">
        <f t="shared" si="207"/>
        <v>2.4907743041815068E-2</v>
      </c>
      <c r="BF158" s="545">
        <f t="shared" si="208"/>
        <v>4.7249999999999993E-2</v>
      </c>
      <c r="BG158" s="545">
        <f t="shared" si="209"/>
        <v>2.6951840200497828E-3</v>
      </c>
      <c r="BH158" s="545">
        <f t="shared" si="210"/>
        <v>2.2911328124999998E-2</v>
      </c>
      <c r="BI158">
        <f t="shared" si="211"/>
        <v>6.2640000000000005E-3</v>
      </c>
      <c r="BK158" s="471">
        <f t="shared" si="212"/>
        <v>104.02825518686485</v>
      </c>
      <c r="BL158" s="178">
        <f t="shared" si="213"/>
        <v>5.7599999999999998E-2</v>
      </c>
      <c r="BM158" s="178">
        <f t="shared" si="214"/>
        <v>2.8799999999999999E-2</v>
      </c>
      <c r="BN158" s="545"/>
      <c r="BP158" s="471">
        <f t="shared" si="215"/>
        <v>86.4</v>
      </c>
      <c r="BQ158" s="545">
        <f t="shared" si="216"/>
        <v>6.7606731113498053E-3</v>
      </c>
      <c r="BR158" s="545">
        <f t="shared" si="217"/>
        <v>2.2586893282000461E-2</v>
      </c>
      <c r="BS158" s="545">
        <f t="shared" si="218"/>
        <v>6.2741370227779071E-3</v>
      </c>
      <c r="BT158" s="545">
        <f t="shared" si="219"/>
        <v>1.0916139186003955E-2</v>
      </c>
      <c r="BU158" s="545"/>
      <c r="BV158" s="655">
        <f t="shared" si="250"/>
        <v>1.9488721804511284E-2</v>
      </c>
      <c r="BW158" s="471">
        <f t="shared" si="221"/>
        <v>66.026564406643416</v>
      </c>
      <c r="BX158" s="178">
        <f t="shared" si="222"/>
        <v>0.2564548195935083</v>
      </c>
      <c r="BY158" s="5">
        <f t="shared" si="223"/>
        <v>3.4560000000000004</v>
      </c>
      <c r="BZ158" s="178">
        <f t="shared" si="224"/>
        <v>0.93092042003043463</v>
      </c>
      <c r="CA158" s="5">
        <f t="shared" si="225"/>
        <v>93.09204200304346</v>
      </c>
      <c r="CB158">
        <f t="shared" si="226"/>
        <v>48</v>
      </c>
      <c r="CD158" s="580">
        <f t="shared" si="251"/>
        <v>-50</v>
      </c>
      <c r="CE158">
        <f t="shared" si="252"/>
        <v>-50</v>
      </c>
    </row>
    <row r="159" spans="5:83" x14ac:dyDescent="0.2">
      <c r="E159" s="175">
        <v>49</v>
      </c>
      <c r="F159" s="222">
        <f t="shared" si="253"/>
        <v>0.19600000000000001</v>
      </c>
      <c r="G159" s="222">
        <f t="shared" si="234"/>
        <v>9.8000000000000004E-2</v>
      </c>
      <c r="H159" s="222">
        <f t="shared" si="235"/>
        <v>2.3520000000000003</v>
      </c>
      <c r="I159" s="222">
        <f t="shared" si="236"/>
        <v>1.1760000000000002</v>
      </c>
      <c r="J159" s="558">
        <f t="shared" si="171"/>
        <v>21.6</v>
      </c>
      <c r="K159" s="453">
        <f t="shared" si="172"/>
        <v>24.5</v>
      </c>
      <c r="L159" s="453">
        <f t="shared" si="173"/>
        <v>46.1</v>
      </c>
      <c r="M159" s="453"/>
      <c r="N159" s="222">
        <f t="shared" si="174"/>
        <v>0.53145336225596529</v>
      </c>
      <c r="O159" s="177">
        <f t="shared" si="237"/>
        <v>5.2709544468546632</v>
      </c>
      <c r="P159" s="177">
        <f t="shared" si="238"/>
        <v>3.9532158351409978</v>
      </c>
      <c r="Q159" s="222">
        <f t="shared" si="177"/>
        <v>0.43924620390455527</v>
      </c>
      <c r="R159" s="222">
        <f t="shared" si="239"/>
        <v>0.43924620390455527</v>
      </c>
      <c r="S159" s="222">
        <f t="shared" si="240"/>
        <v>12</v>
      </c>
      <c r="T159" s="222">
        <f t="shared" si="241"/>
        <v>0.64701754385964916</v>
      </c>
      <c r="U159" s="222">
        <f t="shared" si="181"/>
        <v>2.5161793372319683</v>
      </c>
      <c r="V159" s="222">
        <f t="shared" si="182"/>
        <v>2.2183458646616541</v>
      </c>
      <c r="W159" s="202">
        <f t="shared" si="183"/>
        <v>350</v>
      </c>
      <c r="X159" s="453">
        <f t="shared" si="184"/>
        <v>211.21442116308509</v>
      </c>
      <c r="Z159" s="222">
        <f t="shared" si="185"/>
        <v>0.39045553145336231</v>
      </c>
      <c r="AA159" s="178">
        <f t="shared" si="186"/>
        <v>1.3387046792686708</v>
      </c>
      <c r="AB159" s="178">
        <f t="shared" si="242"/>
        <v>0.12196441763402208</v>
      </c>
      <c r="AC159" s="178"/>
      <c r="AD159" s="178">
        <f t="shared" si="188"/>
        <v>0.99428571428571422</v>
      </c>
      <c r="AE159" s="562">
        <f t="shared" si="243"/>
        <v>679.74633372968708</v>
      </c>
      <c r="AF159" s="545">
        <f t="shared" si="244"/>
        <v>0.10091999999999998</v>
      </c>
      <c r="AH159" s="178">
        <f t="shared" si="245"/>
        <v>0.48989794855663565</v>
      </c>
      <c r="AI159" s="178">
        <f t="shared" si="246"/>
        <v>0.64701754385964916</v>
      </c>
      <c r="AJ159" s="178">
        <f t="shared" si="247"/>
        <v>1.4644574398960364</v>
      </c>
      <c r="AL159" s="562">
        <f t="shared" si="248"/>
        <v>196</v>
      </c>
      <c r="AM159" s="471">
        <f t="shared" si="249"/>
        <v>211.21442116308509</v>
      </c>
      <c r="AO159">
        <f t="shared" si="196"/>
        <v>196</v>
      </c>
      <c r="AP159">
        <f t="shared" si="197"/>
        <v>211.21442116308509</v>
      </c>
      <c r="AR159" s="5">
        <f t="shared" si="233"/>
        <v>4.7345252018936224</v>
      </c>
      <c r="AS159" s="5">
        <f t="shared" si="230"/>
        <v>2.5161793372319683</v>
      </c>
      <c r="AT159" s="5">
        <f t="shared" si="231"/>
        <v>2.2183458646616541</v>
      </c>
      <c r="AU159" s="178">
        <f t="shared" si="232"/>
        <v>0.53145336225596529</v>
      </c>
      <c r="AW159" s="5">
        <f t="shared" si="201"/>
        <v>4.1097595841455483</v>
      </c>
      <c r="AX159" s="5">
        <f t="shared" si="202"/>
        <v>2.0548797920727742</v>
      </c>
      <c r="AY159" s="5">
        <f t="shared" si="203"/>
        <v>0.21188878629321842</v>
      </c>
      <c r="AZ159" s="5"/>
      <c r="BA159" s="178">
        <f t="shared" si="204"/>
        <v>0.27232531135138072</v>
      </c>
      <c r="BB159" s="178">
        <f t="shared" si="205"/>
        <v>0.5114013120232076</v>
      </c>
      <c r="BC159" s="178">
        <f t="shared" si="206"/>
        <v>0.2557006560116038</v>
      </c>
      <c r="BD159" s="178"/>
      <c r="BE159" s="545">
        <f t="shared" si="207"/>
        <v>2.5956376320919256E-2</v>
      </c>
      <c r="BF159" s="545">
        <f t="shared" si="208"/>
        <v>4.7250000000000007E-2</v>
      </c>
      <c r="BG159" s="545">
        <f t="shared" si="209"/>
        <v>2.6401802645385636E-3</v>
      </c>
      <c r="BH159" s="545">
        <f t="shared" si="210"/>
        <v>2.2443750000000002E-2</v>
      </c>
      <c r="BI159">
        <f t="shared" si="211"/>
        <v>6.2640000000000005E-3</v>
      </c>
      <c r="BK159" s="471">
        <f t="shared" si="212"/>
        <v>104.55430658545784</v>
      </c>
      <c r="BL159" s="178">
        <f t="shared" si="213"/>
        <v>5.8799999999999998E-2</v>
      </c>
      <c r="BM159" s="178">
        <f t="shared" si="214"/>
        <v>2.9399999999999999E-2</v>
      </c>
      <c r="BN159" s="545"/>
      <c r="BP159" s="471">
        <f t="shared" si="215"/>
        <v>88.2</v>
      </c>
      <c r="BQ159" s="545">
        <f t="shared" si="216"/>
        <v>7.0453021442495132E-3</v>
      </c>
      <c r="BR159" s="545">
        <f t="shared" si="217"/>
        <v>2.3537817174515235E-2</v>
      </c>
      <c r="BS159" s="545">
        <f t="shared" si="218"/>
        <v>6.5382825484764547E-3</v>
      </c>
      <c r="BT159" s="545">
        <f t="shared" si="219"/>
        <v>1.0916139186003928E-2</v>
      </c>
      <c r="BU159" s="545"/>
      <c r="BV159" s="655">
        <f t="shared" si="250"/>
        <v>1.9894736842105271E-2</v>
      </c>
      <c r="BW159" s="471">
        <f t="shared" si="221"/>
        <v>67.93227789535041</v>
      </c>
      <c r="BX159" s="178">
        <f t="shared" si="222"/>
        <v>0.26068658448080823</v>
      </c>
      <c r="BY159" s="5">
        <f t="shared" si="223"/>
        <v>3.5280000000000005</v>
      </c>
      <c r="BZ159" s="178">
        <f t="shared" si="224"/>
        <v>0.93119341527255617</v>
      </c>
      <c r="CA159" s="5">
        <f t="shared" si="225"/>
        <v>93.119341527255614</v>
      </c>
      <c r="CB159">
        <f t="shared" si="226"/>
        <v>49</v>
      </c>
      <c r="CD159" s="580">
        <f t="shared" si="251"/>
        <v>-50</v>
      </c>
      <c r="CE159">
        <f t="shared" si="252"/>
        <v>-50</v>
      </c>
    </row>
    <row r="160" spans="5:83" x14ac:dyDescent="0.2">
      <c r="E160" s="175">
        <v>50</v>
      </c>
      <c r="F160" s="222">
        <f t="shared" si="253"/>
        <v>0.2</v>
      </c>
      <c r="G160" s="222">
        <f t="shared" si="234"/>
        <v>0.1</v>
      </c>
      <c r="H160" s="222">
        <f t="shared" si="235"/>
        <v>2.4000000000000004</v>
      </c>
      <c r="I160" s="222">
        <f t="shared" si="236"/>
        <v>1.2000000000000002</v>
      </c>
      <c r="J160" s="558">
        <f t="shared" si="171"/>
        <v>21.6</v>
      </c>
      <c r="K160" s="453">
        <f t="shared" si="172"/>
        <v>24.5</v>
      </c>
      <c r="L160" s="453">
        <f t="shared" si="173"/>
        <v>46.1</v>
      </c>
      <c r="M160" s="453"/>
      <c r="N160" s="222">
        <f t="shared" si="174"/>
        <v>0.53145336225596529</v>
      </c>
      <c r="O160" s="177">
        <f t="shared" si="237"/>
        <v>5.2709544468546632</v>
      </c>
      <c r="P160" s="177">
        <f t="shared" si="238"/>
        <v>3.9532158351409978</v>
      </c>
      <c r="Q160" s="222">
        <f t="shared" si="177"/>
        <v>0.43924620390455527</v>
      </c>
      <c r="R160" s="222">
        <f t="shared" si="239"/>
        <v>0.43924620390455527</v>
      </c>
      <c r="S160" s="222">
        <f t="shared" si="240"/>
        <v>12</v>
      </c>
      <c r="T160" s="222">
        <f t="shared" si="241"/>
        <v>0.6602219835302543</v>
      </c>
      <c r="U160" s="222">
        <f t="shared" si="181"/>
        <v>2.5675299359509887</v>
      </c>
      <c r="V160" s="222">
        <f t="shared" si="182"/>
        <v>2.2636182292465863</v>
      </c>
      <c r="W160" s="202">
        <f t="shared" si="183"/>
        <v>350</v>
      </c>
      <c r="X160" s="453">
        <f t="shared" si="184"/>
        <v>206.99013273982331</v>
      </c>
      <c r="Z160" s="222">
        <f t="shared" si="185"/>
        <v>0.39045553145336231</v>
      </c>
      <c r="AA160" s="178">
        <f t="shared" si="186"/>
        <v>1.3387046792686708</v>
      </c>
      <c r="AB160" s="178">
        <f t="shared" si="242"/>
        <v>0.12196441763402208</v>
      </c>
      <c r="AC160" s="178"/>
      <c r="AD160" s="178">
        <f t="shared" si="188"/>
        <v>0.99428571428571422</v>
      </c>
      <c r="AE160" s="562">
        <f t="shared" si="243"/>
        <v>693.61870788743579</v>
      </c>
      <c r="AF160" s="545">
        <f t="shared" si="244"/>
        <v>0.10091999999999998</v>
      </c>
      <c r="AH160" s="178">
        <f t="shared" si="245"/>
        <v>0.49487165930539356</v>
      </c>
      <c r="AI160" s="178">
        <f t="shared" si="246"/>
        <v>0.6602219835302543</v>
      </c>
      <c r="AJ160" s="178">
        <f t="shared" si="247"/>
        <v>1.4742385063187069</v>
      </c>
      <c r="AL160" s="562">
        <f t="shared" si="248"/>
        <v>200</v>
      </c>
      <c r="AM160" s="471">
        <f t="shared" si="249"/>
        <v>206.99013273982331</v>
      </c>
      <c r="AO160">
        <f t="shared" si="196"/>
        <v>200</v>
      </c>
      <c r="AP160">
        <f t="shared" si="197"/>
        <v>206.99013273982331</v>
      </c>
      <c r="AR160" s="5">
        <f t="shared" si="233"/>
        <v>4.8311481651975754</v>
      </c>
      <c r="AS160" s="5">
        <f t="shared" si="230"/>
        <v>2.5675299359509887</v>
      </c>
      <c r="AT160" s="5">
        <f t="shared" si="231"/>
        <v>2.2636182292465867</v>
      </c>
      <c r="AU160" s="178">
        <f t="shared" si="232"/>
        <v>0.53145336225596518</v>
      </c>
      <c r="AW160" s="5">
        <f t="shared" si="201"/>
        <v>4.2792165599183143</v>
      </c>
      <c r="AX160" s="5">
        <f t="shared" si="202"/>
        <v>2.1396082799591571</v>
      </c>
      <c r="AY160" s="5">
        <f t="shared" si="203"/>
        <v>0.22062555840610007</v>
      </c>
      <c r="AZ160" s="5"/>
      <c r="BA160" s="178">
        <f t="shared" si="204"/>
        <v>0.27788297076671503</v>
      </c>
      <c r="BB160" s="178">
        <f t="shared" si="205"/>
        <v>0.5218380734930691</v>
      </c>
      <c r="BC160" s="178">
        <f t="shared" si="206"/>
        <v>0.26091903674653455</v>
      </c>
      <c r="BD160" s="178"/>
      <c r="BE160" s="545">
        <f t="shared" si="207"/>
        <v>2.7026630904747252E-2</v>
      </c>
      <c r="BF160" s="545">
        <f t="shared" si="208"/>
        <v>4.7249999999999993E-2</v>
      </c>
      <c r="BG160" s="545">
        <f t="shared" si="209"/>
        <v>2.5873766592477911E-3</v>
      </c>
      <c r="BH160" s="545">
        <f t="shared" si="210"/>
        <v>2.1994874999999994E-2</v>
      </c>
      <c r="BI160">
        <f t="shared" si="211"/>
        <v>6.2640000000000005E-3</v>
      </c>
      <c r="BK160" s="471">
        <f t="shared" si="212"/>
        <v>105.12288256399505</v>
      </c>
      <c r="BL160" s="178">
        <f t="shared" si="213"/>
        <v>0.06</v>
      </c>
      <c r="BM160" s="178">
        <f t="shared" si="214"/>
        <v>0.03</v>
      </c>
      <c r="BN160" s="545"/>
      <c r="BP160" s="471">
        <f t="shared" si="215"/>
        <v>90</v>
      </c>
      <c r="BQ160" s="545">
        <f t="shared" si="216"/>
        <v>7.3357998170028253E-3</v>
      </c>
      <c r="BR160" s="545">
        <f t="shared" si="217"/>
        <v>2.45083477452262E-2</v>
      </c>
      <c r="BS160" s="545">
        <f t="shared" si="218"/>
        <v>6.8078743736739444E-3</v>
      </c>
      <c r="BT160" s="545">
        <f t="shared" si="219"/>
        <v>1.0916139186003948E-2</v>
      </c>
      <c r="BU160" s="545"/>
      <c r="BV160" s="655">
        <f t="shared" si="250"/>
        <v>2.030075187969925E-2</v>
      </c>
      <c r="BW160" s="471">
        <f t="shared" si="221"/>
        <v>69.86891300160616</v>
      </c>
      <c r="BX160" s="178">
        <f t="shared" si="222"/>
        <v>0.26499179556560121</v>
      </c>
      <c r="BY160" s="5">
        <f t="shared" si="223"/>
        <v>3.6000000000000005</v>
      </c>
      <c r="BZ160" s="178">
        <f t="shared" si="224"/>
        <v>0.93143794098874089</v>
      </c>
      <c r="CA160" s="5">
        <f t="shared" si="225"/>
        <v>93.143794098874082</v>
      </c>
      <c r="CB160">
        <f t="shared" si="226"/>
        <v>50</v>
      </c>
      <c r="CD160" s="580">
        <f t="shared" si="251"/>
        <v>-50</v>
      </c>
      <c r="CE160">
        <f t="shared" si="252"/>
        <v>-50</v>
      </c>
    </row>
    <row r="161" spans="5:83" x14ac:dyDescent="0.2">
      <c r="E161" s="175">
        <v>51</v>
      </c>
      <c r="F161" s="222">
        <f t="shared" si="253"/>
        <v>0.20400000000000001</v>
      </c>
      <c r="G161" s="222">
        <f t="shared" si="234"/>
        <v>0.10200000000000001</v>
      </c>
      <c r="H161" s="222">
        <f t="shared" si="235"/>
        <v>2.4480000000000004</v>
      </c>
      <c r="I161" s="222">
        <f t="shared" si="236"/>
        <v>1.2240000000000002</v>
      </c>
      <c r="J161" s="558">
        <f t="shared" si="171"/>
        <v>21.6</v>
      </c>
      <c r="K161" s="453">
        <f t="shared" si="172"/>
        <v>24.5</v>
      </c>
      <c r="L161" s="453">
        <f t="shared" si="173"/>
        <v>46.1</v>
      </c>
      <c r="M161" s="453"/>
      <c r="N161" s="222">
        <f t="shared" si="174"/>
        <v>0.53145336225596529</v>
      </c>
      <c r="O161" s="177">
        <f t="shared" si="237"/>
        <v>5.2709544468546632</v>
      </c>
      <c r="P161" s="177">
        <f t="shared" si="238"/>
        <v>3.9532158351409978</v>
      </c>
      <c r="Q161" s="222">
        <f t="shared" si="177"/>
        <v>0.43924620390455527</v>
      </c>
      <c r="R161" s="222">
        <f t="shared" si="239"/>
        <v>0.43924620390455527</v>
      </c>
      <c r="S161" s="222">
        <f t="shared" si="240"/>
        <v>12</v>
      </c>
      <c r="T161" s="222">
        <f t="shared" si="241"/>
        <v>0.67342642320085944</v>
      </c>
      <c r="U161" s="222">
        <f t="shared" si="181"/>
        <v>2.6188805346700086</v>
      </c>
      <c r="V161" s="222">
        <f t="shared" si="182"/>
        <v>2.3088905938315181</v>
      </c>
      <c r="W161" s="202">
        <f t="shared" si="183"/>
        <v>350</v>
      </c>
      <c r="X161" s="453">
        <f t="shared" si="184"/>
        <v>202.93150268610131</v>
      </c>
      <c r="Z161" s="222">
        <f t="shared" si="185"/>
        <v>0.39045553145336231</v>
      </c>
      <c r="AA161" s="178">
        <f t="shared" si="186"/>
        <v>1.3387046792686708</v>
      </c>
      <c r="AB161" s="178">
        <f t="shared" si="242"/>
        <v>0.12196441763402208</v>
      </c>
      <c r="AC161" s="178"/>
      <c r="AD161" s="178">
        <f t="shared" si="188"/>
        <v>0.99428571428571422</v>
      </c>
      <c r="AE161" s="562">
        <f t="shared" si="243"/>
        <v>707.49108204518461</v>
      </c>
      <c r="AF161" s="545">
        <f t="shared" si="244"/>
        <v>0.10091999999999998</v>
      </c>
      <c r="AH161" s="178">
        <f t="shared" si="245"/>
        <v>0.49979587670102582</v>
      </c>
      <c r="AI161" s="178">
        <f t="shared" si="246"/>
        <v>0.67342642320085944</v>
      </c>
      <c r="AJ161" s="178">
        <f t="shared" si="247"/>
        <v>1.4840195727413774</v>
      </c>
      <c r="AL161" s="562">
        <f t="shared" si="248"/>
        <v>204.00000000000003</v>
      </c>
      <c r="AM161" s="471">
        <f t="shared" si="249"/>
        <v>202.93150268610131</v>
      </c>
      <c r="AO161">
        <f t="shared" si="196"/>
        <v>204.00000000000003</v>
      </c>
      <c r="AP161">
        <f t="shared" si="197"/>
        <v>202.93150268610131</v>
      </c>
      <c r="AR161" s="5">
        <f t="shared" si="233"/>
        <v>4.9277711285015267</v>
      </c>
      <c r="AS161" s="5">
        <f t="shared" si="230"/>
        <v>2.6188805346700086</v>
      </c>
      <c r="AT161" s="5">
        <f t="shared" si="231"/>
        <v>2.3088905938315181</v>
      </c>
      <c r="AU161" s="178">
        <f t="shared" si="232"/>
        <v>0.53145336225596529</v>
      </c>
      <c r="AW161" s="5">
        <f t="shared" si="201"/>
        <v>4.4520969089390148</v>
      </c>
      <c r="AX161" s="5">
        <f t="shared" si="202"/>
        <v>2.2260484544695074</v>
      </c>
      <c r="AY161" s="5">
        <f t="shared" si="203"/>
        <v>0.22953883096570646</v>
      </c>
      <c r="AZ161" s="5"/>
      <c r="BA161" s="178">
        <f t="shared" si="204"/>
        <v>0.2834406301820494</v>
      </c>
      <c r="BB161" s="178">
        <f t="shared" si="205"/>
        <v>0.53227483496293049</v>
      </c>
      <c r="BC161" s="178">
        <f t="shared" si="206"/>
        <v>0.26613741748146524</v>
      </c>
      <c r="BD161" s="178"/>
      <c r="BE161" s="545">
        <f t="shared" si="207"/>
        <v>2.8118506793299053E-2</v>
      </c>
      <c r="BF161" s="545">
        <f t="shared" si="208"/>
        <v>4.725E-2</v>
      </c>
      <c r="BG161" s="545">
        <f t="shared" si="209"/>
        <v>2.5366437835762663E-3</v>
      </c>
      <c r="BH161" s="545">
        <f t="shared" si="210"/>
        <v>2.1563602941176468E-2</v>
      </c>
      <c r="BI161">
        <f t="shared" si="211"/>
        <v>6.2640000000000005E-3</v>
      </c>
      <c r="BK161" s="471">
        <f t="shared" si="212"/>
        <v>105.73275351805179</v>
      </c>
      <c r="BL161" s="178">
        <f t="shared" si="213"/>
        <v>6.1200000000000004E-2</v>
      </c>
      <c r="BM161" s="178">
        <f t="shared" si="214"/>
        <v>3.0600000000000002E-2</v>
      </c>
      <c r="BN161" s="545"/>
      <c r="BP161" s="471">
        <f t="shared" si="215"/>
        <v>91.800000000000011</v>
      </c>
      <c r="BQ161" s="545">
        <f t="shared" si="216"/>
        <v>7.6321661296097432E-3</v>
      </c>
      <c r="BR161" s="545">
        <f t="shared" si="217"/>
        <v>2.549848499413334E-2</v>
      </c>
      <c r="BS161" s="545">
        <f t="shared" si="218"/>
        <v>7.082912498370373E-3</v>
      </c>
      <c r="BT161" s="545">
        <f t="shared" si="219"/>
        <v>1.0916139186003948E-2</v>
      </c>
      <c r="BU161" s="545"/>
      <c r="BV161" s="655">
        <f t="shared" si="250"/>
        <v>2.0706766917293239E-2</v>
      </c>
      <c r="BW161" s="471">
        <f t="shared" si="221"/>
        <v>71.836469725410637</v>
      </c>
      <c r="BX161" s="178">
        <f t="shared" si="222"/>
        <v>0.26936922324346246</v>
      </c>
      <c r="BY161" s="5">
        <f t="shared" si="223"/>
        <v>3.6720000000000006</v>
      </c>
      <c r="BZ161" s="178">
        <f t="shared" si="224"/>
        <v>0.93165592767738947</v>
      </c>
      <c r="CA161" s="5">
        <f t="shared" si="225"/>
        <v>93.165592767738943</v>
      </c>
      <c r="CB161">
        <f t="shared" si="226"/>
        <v>51</v>
      </c>
      <c r="CD161" s="580">
        <f t="shared" si="251"/>
        <v>-50</v>
      </c>
      <c r="CE161">
        <f t="shared" si="252"/>
        <v>-50</v>
      </c>
    </row>
    <row r="162" spans="5:83" x14ac:dyDescent="0.2">
      <c r="E162" s="175">
        <v>52</v>
      </c>
      <c r="F162" s="222">
        <f t="shared" si="253"/>
        <v>0.20800000000000002</v>
      </c>
      <c r="G162" s="222">
        <f t="shared" si="234"/>
        <v>0.10400000000000001</v>
      </c>
      <c r="H162" s="222">
        <f t="shared" si="235"/>
        <v>2.4960000000000004</v>
      </c>
      <c r="I162" s="222">
        <f t="shared" si="236"/>
        <v>1.2480000000000002</v>
      </c>
      <c r="J162" s="558">
        <f t="shared" si="171"/>
        <v>21.6</v>
      </c>
      <c r="K162" s="453">
        <f t="shared" si="172"/>
        <v>24.5</v>
      </c>
      <c r="L162" s="453">
        <f t="shared" si="173"/>
        <v>46.1</v>
      </c>
      <c r="M162" s="453"/>
      <c r="N162" s="222">
        <f t="shared" si="174"/>
        <v>0.53145336225596529</v>
      </c>
      <c r="O162" s="177">
        <f t="shared" si="237"/>
        <v>5.2709544468546632</v>
      </c>
      <c r="P162" s="177">
        <f t="shared" si="238"/>
        <v>3.9532158351409978</v>
      </c>
      <c r="Q162" s="222">
        <f t="shared" si="177"/>
        <v>0.43924620390455527</v>
      </c>
      <c r="R162" s="222">
        <f t="shared" si="239"/>
        <v>0.43924620390455527</v>
      </c>
      <c r="S162" s="222">
        <f t="shared" si="240"/>
        <v>12</v>
      </c>
      <c r="T162" s="222">
        <f t="shared" si="241"/>
        <v>0.68663086287146446</v>
      </c>
      <c r="U162" s="222">
        <f t="shared" si="181"/>
        <v>2.6702311333890285</v>
      </c>
      <c r="V162" s="222">
        <f t="shared" si="182"/>
        <v>2.3541629584164494</v>
      </c>
      <c r="W162" s="202">
        <f t="shared" si="183"/>
        <v>350</v>
      </c>
      <c r="X162" s="453">
        <f t="shared" si="184"/>
        <v>199.02897378829169</v>
      </c>
      <c r="Z162" s="222">
        <f t="shared" si="185"/>
        <v>0.39045553145336231</v>
      </c>
      <c r="AA162" s="178">
        <f t="shared" si="186"/>
        <v>1.3387046792686708</v>
      </c>
      <c r="AB162" s="178">
        <f t="shared" si="242"/>
        <v>0.12196441763402208</v>
      </c>
      <c r="AC162" s="178"/>
      <c r="AD162" s="178">
        <f t="shared" si="188"/>
        <v>0.99428571428571422</v>
      </c>
      <c r="AE162" s="562">
        <f t="shared" si="243"/>
        <v>721.36345620293321</v>
      </c>
      <c r="AF162" s="545">
        <f t="shared" si="244"/>
        <v>0.10091999999999998</v>
      </c>
      <c r="AH162" s="178">
        <f t="shared" si="245"/>
        <v>0.50467204950444844</v>
      </c>
      <c r="AI162" s="178">
        <f t="shared" si="246"/>
        <v>0.68663086287146446</v>
      </c>
      <c r="AJ162" s="178">
        <f t="shared" si="247"/>
        <v>1.4938006391640477</v>
      </c>
      <c r="AL162" s="562">
        <f t="shared" si="248"/>
        <v>208.00000000000003</v>
      </c>
      <c r="AM162" s="471">
        <f t="shared" si="249"/>
        <v>199.02897378829169</v>
      </c>
      <c r="AO162">
        <f t="shared" si="196"/>
        <v>208.00000000000003</v>
      </c>
      <c r="AP162">
        <f t="shared" si="197"/>
        <v>199.02897378829169</v>
      </c>
      <c r="AR162" s="5">
        <f t="shared" si="233"/>
        <v>5.024394091805477</v>
      </c>
      <c r="AS162" s="5">
        <f t="shared" si="230"/>
        <v>2.6702311333890285</v>
      </c>
      <c r="AT162" s="5">
        <f t="shared" si="231"/>
        <v>2.3541629584164485</v>
      </c>
      <c r="AU162" s="178">
        <f t="shared" si="232"/>
        <v>0.5314533622559654</v>
      </c>
      <c r="AW162" s="5">
        <f t="shared" si="201"/>
        <v>4.6284006312076498</v>
      </c>
      <c r="AX162" s="5">
        <f t="shared" si="202"/>
        <v>2.3142003156038249</v>
      </c>
      <c r="AY162" s="5">
        <f t="shared" si="203"/>
        <v>0.23862860397203767</v>
      </c>
      <c r="AZ162" s="5"/>
      <c r="BA162" s="178">
        <f t="shared" si="204"/>
        <v>0.28899828959738372</v>
      </c>
      <c r="BB162" s="178">
        <f t="shared" si="205"/>
        <v>0.54271159643279188</v>
      </c>
      <c r="BC162" s="178">
        <f t="shared" si="206"/>
        <v>0.27135579821639594</v>
      </c>
      <c r="BD162" s="178"/>
      <c r="BE162" s="545">
        <f t="shared" si="207"/>
        <v>2.9232003986574641E-2</v>
      </c>
      <c r="BF162" s="545">
        <f t="shared" si="208"/>
        <v>4.725E-2</v>
      </c>
      <c r="BG162" s="545">
        <f t="shared" si="209"/>
        <v>2.4878621723536461E-3</v>
      </c>
      <c r="BH162" s="545">
        <f t="shared" si="210"/>
        <v>2.1148918269230769E-2</v>
      </c>
      <c r="BI162">
        <f t="shared" si="211"/>
        <v>6.2640000000000005E-3</v>
      </c>
      <c r="BK162" s="471">
        <f t="shared" si="212"/>
        <v>106.38278442815907</v>
      </c>
      <c r="BL162" s="178">
        <f t="shared" si="213"/>
        <v>6.2400000000000004E-2</v>
      </c>
      <c r="BM162" s="178">
        <f t="shared" si="214"/>
        <v>3.1200000000000002E-2</v>
      </c>
      <c r="BN162" s="545"/>
      <c r="BP162" s="471">
        <f t="shared" si="215"/>
        <v>93.600000000000009</v>
      </c>
      <c r="BQ162" s="545">
        <f t="shared" si="216"/>
        <v>7.934401082070261E-3</v>
      </c>
      <c r="BR162" s="545">
        <f t="shared" si="217"/>
        <v>2.6508228921236658E-2</v>
      </c>
      <c r="BS162" s="545">
        <f t="shared" si="218"/>
        <v>7.3633969225657394E-3</v>
      </c>
      <c r="BT162" s="545">
        <f t="shared" si="219"/>
        <v>1.0916139186003945E-2</v>
      </c>
      <c r="BU162" s="545"/>
      <c r="BV162" s="655">
        <f t="shared" si="250"/>
        <v>2.1112781954887229E-2</v>
      </c>
      <c r="BW162" s="471">
        <f t="shared" si="221"/>
        <v>73.834948066763829</v>
      </c>
      <c r="BX162" s="178">
        <f t="shared" si="222"/>
        <v>0.27381773249492297</v>
      </c>
      <c r="BY162" s="5">
        <f t="shared" si="223"/>
        <v>3.7440000000000007</v>
      </c>
      <c r="BZ162" s="178">
        <f t="shared" si="224"/>
        <v>0.93184914032302513</v>
      </c>
      <c r="CA162" s="5">
        <f t="shared" si="225"/>
        <v>93.184914032302515</v>
      </c>
      <c r="CB162">
        <f t="shared" si="226"/>
        <v>52</v>
      </c>
      <c r="CD162" s="580">
        <f t="shared" si="251"/>
        <v>-50</v>
      </c>
      <c r="CE162">
        <f t="shared" si="252"/>
        <v>-50</v>
      </c>
    </row>
    <row r="163" spans="5:83" x14ac:dyDescent="0.2">
      <c r="E163" s="175">
        <v>53</v>
      </c>
      <c r="F163" s="222">
        <f t="shared" si="253"/>
        <v>0.21200000000000002</v>
      </c>
      <c r="G163" s="222">
        <f t="shared" si="234"/>
        <v>0.10600000000000001</v>
      </c>
      <c r="H163" s="222">
        <f t="shared" si="235"/>
        <v>2.5440000000000005</v>
      </c>
      <c r="I163" s="222">
        <f t="shared" si="236"/>
        <v>1.2720000000000002</v>
      </c>
      <c r="J163" s="558">
        <f t="shared" si="171"/>
        <v>21.6</v>
      </c>
      <c r="K163" s="453">
        <f t="shared" si="172"/>
        <v>24.5</v>
      </c>
      <c r="L163" s="453">
        <f t="shared" si="173"/>
        <v>46.1</v>
      </c>
      <c r="M163" s="453"/>
      <c r="N163" s="222">
        <f t="shared" si="174"/>
        <v>0.53145336225596529</v>
      </c>
      <c r="O163" s="177">
        <f t="shared" si="237"/>
        <v>5.2709544468546632</v>
      </c>
      <c r="P163" s="177">
        <f t="shared" si="238"/>
        <v>3.9532158351409978</v>
      </c>
      <c r="Q163" s="222">
        <f t="shared" si="177"/>
        <v>0.43924620390455527</v>
      </c>
      <c r="R163" s="222">
        <f t="shared" si="239"/>
        <v>0.43924620390455527</v>
      </c>
      <c r="S163" s="222">
        <f t="shared" si="240"/>
        <v>12</v>
      </c>
      <c r="T163" s="222">
        <f t="shared" si="241"/>
        <v>0.6998353025420696</v>
      </c>
      <c r="U163" s="222">
        <f t="shared" si="181"/>
        <v>2.721581732108048</v>
      </c>
      <c r="V163" s="222">
        <f t="shared" si="182"/>
        <v>2.3994353230013812</v>
      </c>
      <c r="W163" s="202">
        <f t="shared" si="183"/>
        <v>350</v>
      </c>
      <c r="X163" s="453">
        <f t="shared" si="184"/>
        <v>195.27371013190881</v>
      </c>
      <c r="Z163" s="222">
        <f t="shared" si="185"/>
        <v>0.39045553145336231</v>
      </c>
      <c r="AA163" s="178">
        <f t="shared" si="186"/>
        <v>1.3387046792686708</v>
      </c>
      <c r="AB163" s="178">
        <f t="shared" si="242"/>
        <v>0.12196441763402208</v>
      </c>
      <c r="AC163" s="178"/>
      <c r="AD163" s="178">
        <f t="shared" si="188"/>
        <v>0.99428571428571422</v>
      </c>
      <c r="AE163" s="562">
        <f t="shared" si="243"/>
        <v>735.23583036068203</v>
      </c>
      <c r="AF163" s="545">
        <f t="shared" si="244"/>
        <v>0.10091999999999998</v>
      </c>
      <c r="AH163" s="178">
        <f t="shared" si="245"/>
        <v>0.50950155714648604</v>
      </c>
      <c r="AI163" s="178">
        <f t="shared" si="246"/>
        <v>0.6998353025420696</v>
      </c>
      <c r="AJ163" s="178">
        <f t="shared" si="247"/>
        <v>1.5035817055867182</v>
      </c>
      <c r="AL163" s="562">
        <f t="shared" si="248"/>
        <v>212.00000000000003</v>
      </c>
      <c r="AM163" s="471">
        <f t="shared" si="249"/>
        <v>195.27371013190881</v>
      </c>
      <c r="AO163">
        <f t="shared" si="196"/>
        <v>212.00000000000003</v>
      </c>
      <c r="AP163">
        <f t="shared" si="197"/>
        <v>195.27371013190881</v>
      </c>
      <c r="AR163" s="5">
        <f t="shared" si="233"/>
        <v>5.1210170551094292</v>
      </c>
      <c r="AS163" s="5">
        <f t="shared" si="230"/>
        <v>2.721581732108048</v>
      </c>
      <c r="AT163" s="5">
        <f t="shared" si="231"/>
        <v>2.3994353230013812</v>
      </c>
      <c r="AU163" s="178">
        <f t="shared" si="232"/>
        <v>0.53145336225596529</v>
      </c>
      <c r="AW163" s="5">
        <f t="shared" si="201"/>
        <v>4.8081277267242184</v>
      </c>
      <c r="AX163" s="5">
        <f t="shared" si="202"/>
        <v>2.4040638633621092</v>
      </c>
      <c r="AY163" s="5">
        <f t="shared" si="203"/>
        <v>0.24789487742509397</v>
      </c>
      <c r="AZ163" s="5"/>
      <c r="BA163" s="178">
        <f t="shared" si="204"/>
        <v>0.29455594901271798</v>
      </c>
      <c r="BB163" s="178">
        <f t="shared" si="205"/>
        <v>0.55314835790265326</v>
      </c>
      <c r="BC163" s="178">
        <f t="shared" si="206"/>
        <v>0.27657417895132663</v>
      </c>
      <c r="BD163" s="178"/>
      <c r="BE163" s="545">
        <f t="shared" si="207"/>
        <v>3.0367122484574016E-2</v>
      </c>
      <c r="BF163" s="545">
        <f t="shared" si="208"/>
        <v>4.725E-2</v>
      </c>
      <c r="BG163" s="545">
        <f t="shared" si="209"/>
        <v>2.4409213766488601E-3</v>
      </c>
      <c r="BH163" s="545">
        <f t="shared" si="210"/>
        <v>2.0749882075471696E-2</v>
      </c>
      <c r="BI163">
        <f t="shared" si="211"/>
        <v>6.2640000000000005E-3</v>
      </c>
      <c r="BK163" s="471">
        <f t="shared" si="212"/>
        <v>107.07192593669458</v>
      </c>
      <c r="BL163" s="178">
        <f t="shared" si="213"/>
        <v>6.3600000000000004E-2</v>
      </c>
      <c r="BM163" s="178">
        <f t="shared" si="214"/>
        <v>3.1800000000000002E-2</v>
      </c>
      <c r="BN163" s="545"/>
      <c r="BP163" s="471">
        <f t="shared" si="215"/>
        <v>95.4</v>
      </c>
      <c r="BQ163" s="545">
        <f t="shared" si="216"/>
        <v>8.2425046743843759E-3</v>
      </c>
      <c r="BR163" s="545">
        <f t="shared" si="217"/>
        <v>2.7537579526536158E-2</v>
      </c>
      <c r="BS163" s="545">
        <f t="shared" si="218"/>
        <v>7.6493276462600446E-3</v>
      </c>
      <c r="BT163" s="545">
        <f t="shared" si="219"/>
        <v>1.0916139186003935E-2</v>
      </c>
      <c r="BU163" s="545"/>
      <c r="BV163" s="655">
        <f t="shared" si="250"/>
        <v>2.1518796992481215E-2</v>
      </c>
      <c r="BW163" s="471">
        <f t="shared" si="221"/>
        <v>75.86434802566572</v>
      </c>
      <c r="BX163" s="178">
        <f t="shared" si="222"/>
        <v>0.27833627396236033</v>
      </c>
      <c r="BY163" s="5">
        <f t="shared" si="223"/>
        <v>3.8160000000000007</v>
      </c>
      <c r="BZ163" s="178">
        <f t="shared" si="224"/>
        <v>0.93201919545973289</v>
      </c>
      <c r="CA163" s="5">
        <f t="shared" si="225"/>
        <v>93.201919545973283</v>
      </c>
      <c r="CB163">
        <f t="shared" si="226"/>
        <v>53</v>
      </c>
      <c r="CD163" s="580">
        <f t="shared" si="251"/>
        <v>-50</v>
      </c>
      <c r="CE163">
        <f t="shared" si="252"/>
        <v>-50</v>
      </c>
    </row>
    <row r="164" spans="5:83" x14ac:dyDescent="0.2">
      <c r="E164" s="175">
        <v>54</v>
      </c>
      <c r="F164" s="222">
        <f t="shared" si="253"/>
        <v>0.21600000000000003</v>
      </c>
      <c r="G164" s="222">
        <f t="shared" si="234"/>
        <v>0.10800000000000001</v>
      </c>
      <c r="H164" s="222">
        <f t="shared" si="235"/>
        <v>2.5920000000000005</v>
      </c>
      <c r="I164" s="222">
        <f t="shared" si="236"/>
        <v>1.2960000000000003</v>
      </c>
      <c r="J164" s="558">
        <f t="shared" si="171"/>
        <v>21.6</v>
      </c>
      <c r="K164" s="453">
        <f t="shared" si="172"/>
        <v>24.5</v>
      </c>
      <c r="L164" s="453">
        <f t="shared" si="173"/>
        <v>46.1</v>
      </c>
      <c r="M164" s="453"/>
      <c r="N164" s="222">
        <f t="shared" si="174"/>
        <v>0.53145336225596529</v>
      </c>
      <c r="O164" s="177">
        <f t="shared" si="237"/>
        <v>5.2709544468546632</v>
      </c>
      <c r="P164" s="177">
        <f t="shared" si="238"/>
        <v>3.9532158351409978</v>
      </c>
      <c r="Q164" s="222">
        <f t="shared" si="177"/>
        <v>0.43924620390455527</v>
      </c>
      <c r="R164" s="222">
        <f t="shared" si="239"/>
        <v>0.43924620390455527</v>
      </c>
      <c r="S164" s="222">
        <f t="shared" si="240"/>
        <v>12</v>
      </c>
      <c r="T164" s="222">
        <f t="shared" si="241"/>
        <v>0.71303974221267463</v>
      </c>
      <c r="U164" s="222">
        <f t="shared" si="181"/>
        <v>2.7729323308270679</v>
      </c>
      <c r="V164" s="222">
        <f t="shared" si="182"/>
        <v>2.444707687586313</v>
      </c>
      <c r="W164" s="202">
        <f t="shared" si="183"/>
        <v>350</v>
      </c>
      <c r="X164" s="453">
        <f t="shared" si="184"/>
        <v>191.65753031465127</v>
      </c>
      <c r="Z164" s="222">
        <f t="shared" si="185"/>
        <v>0.39045553145336231</v>
      </c>
      <c r="AA164" s="178">
        <f t="shared" si="186"/>
        <v>1.3387046792686708</v>
      </c>
      <c r="AB164" s="178">
        <f t="shared" si="242"/>
        <v>0.12196441763402208</v>
      </c>
      <c r="AC164" s="178"/>
      <c r="AD164" s="178">
        <f t="shared" si="188"/>
        <v>0.99428571428571422</v>
      </c>
      <c r="AE164" s="562">
        <f t="shared" si="243"/>
        <v>749.10820451843074</v>
      </c>
      <c r="AF164" s="545">
        <f t="shared" si="244"/>
        <v>0.10091999999999998</v>
      </c>
      <c r="AH164" s="178">
        <f t="shared" si="245"/>
        <v>0.51428571428571435</v>
      </c>
      <c r="AI164" s="178">
        <f t="shared" si="246"/>
        <v>0.71303974221267463</v>
      </c>
      <c r="AJ164" s="178">
        <f t="shared" si="247"/>
        <v>1.5133627720093885</v>
      </c>
      <c r="AL164" s="562">
        <f t="shared" si="248"/>
        <v>216.00000000000003</v>
      </c>
      <c r="AM164" s="471">
        <f t="shared" si="249"/>
        <v>191.65753031465127</v>
      </c>
      <c r="AO164">
        <f t="shared" si="196"/>
        <v>216.00000000000003</v>
      </c>
      <c r="AP164">
        <f t="shared" si="197"/>
        <v>191.65753031465127</v>
      </c>
      <c r="AR164" s="5">
        <f t="shared" si="233"/>
        <v>5.2176400184133804</v>
      </c>
      <c r="AS164" s="5">
        <f t="shared" si="230"/>
        <v>2.7729323308270679</v>
      </c>
      <c r="AT164" s="5">
        <f t="shared" si="231"/>
        <v>2.4447076875863125</v>
      </c>
      <c r="AU164" s="178">
        <f t="shared" si="232"/>
        <v>0.53145336225596529</v>
      </c>
      <c r="AW164" s="5">
        <f t="shared" si="201"/>
        <v>4.9912781954887233</v>
      </c>
      <c r="AX164" s="5">
        <f t="shared" si="202"/>
        <v>2.4956390977443617</v>
      </c>
      <c r="AY164" s="5">
        <f t="shared" si="203"/>
        <v>0.25733765132487502</v>
      </c>
      <c r="AZ164" s="5"/>
      <c r="BA164" s="178">
        <f t="shared" si="204"/>
        <v>0.30011360842805229</v>
      </c>
      <c r="BB164" s="178">
        <f t="shared" si="205"/>
        <v>0.56358511937251454</v>
      </c>
      <c r="BC164" s="178">
        <f t="shared" si="206"/>
        <v>0.28179255968625727</v>
      </c>
      <c r="BD164" s="178"/>
      <c r="BE164" s="545">
        <f t="shared" si="207"/>
        <v>3.15238622872972E-2</v>
      </c>
      <c r="BF164" s="545">
        <f t="shared" si="208"/>
        <v>4.7250000000000007E-2</v>
      </c>
      <c r="BG164" s="545">
        <f t="shared" si="209"/>
        <v>2.3957191289331408E-3</v>
      </c>
      <c r="BH164" s="545">
        <f t="shared" si="210"/>
        <v>2.0365625000000002E-2</v>
      </c>
      <c r="BI164">
        <f t="shared" si="211"/>
        <v>6.2640000000000005E-3</v>
      </c>
      <c r="BK164" s="471">
        <f t="shared" si="212"/>
        <v>107.79920641623036</v>
      </c>
      <c r="BL164" s="178">
        <f t="shared" si="213"/>
        <v>6.480000000000001E-2</v>
      </c>
      <c r="BM164" s="178">
        <f t="shared" si="214"/>
        <v>3.2400000000000005E-2</v>
      </c>
      <c r="BN164" s="545"/>
      <c r="BP164" s="471">
        <f t="shared" si="215"/>
        <v>97.2</v>
      </c>
      <c r="BQ164" s="545">
        <f t="shared" si="216"/>
        <v>8.5564769065520976E-3</v>
      </c>
      <c r="BR164" s="545">
        <f t="shared" si="217"/>
        <v>2.8586536810031832E-2</v>
      </c>
      <c r="BS164" s="545">
        <f t="shared" si="218"/>
        <v>7.9407046694532878E-3</v>
      </c>
      <c r="BT164" s="545">
        <f t="shared" si="219"/>
        <v>1.0916139186003943E-2</v>
      </c>
      <c r="BU164" s="545"/>
      <c r="BV164" s="655">
        <f t="shared" si="250"/>
        <v>2.1924812030075194E-2</v>
      </c>
      <c r="BW164" s="471">
        <f t="shared" si="221"/>
        <v>77.924669602116353</v>
      </c>
      <c r="BX164" s="178">
        <f t="shared" si="222"/>
        <v>0.28292387601834673</v>
      </c>
      <c r="BY164" s="5">
        <f t="shared" si="223"/>
        <v>3.8880000000000008</v>
      </c>
      <c r="BZ164" s="178">
        <f t="shared" si="224"/>
        <v>0.93216757619454993</v>
      </c>
      <c r="CA164" s="5">
        <f t="shared" si="225"/>
        <v>93.216757619454995</v>
      </c>
      <c r="CB164">
        <f t="shared" si="226"/>
        <v>54</v>
      </c>
      <c r="CD164" s="580">
        <f t="shared" si="251"/>
        <v>-50</v>
      </c>
      <c r="CE164">
        <f t="shared" si="252"/>
        <v>-50</v>
      </c>
    </row>
    <row r="165" spans="5:83" x14ac:dyDescent="0.2">
      <c r="E165" s="175">
        <v>55</v>
      </c>
      <c r="F165" s="222">
        <f t="shared" si="253"/>
        <v>0.22000000000000003</v>
      </c>
      <c r="G165" s="222">
        <f t="shared" si="234"/>
        <v>0.11000000000000001</v>
      </c>
      <c r="H165" s="222">
        <f t="shared" si="235"/>
        <v>2.6400000000000006</v>
      </c>
      <c r="I165" s="222">
        <f t="shared" si="236"/>
        <v>1.3200000000000003</v>
      </c>
      <c r="J165" s="558">
        <f t="shared" si="171"/>
        <v>21.6</v>
      </c>
      <c r="K165" s="453">
        <f t="shared" si="172"/>
        <v>24.5</v>
      </c>
      <c r="L165" s="453">
        <f t="shared" si="173"/>
        <v>46.1</v>
      </c>
      <c r="M165" s="453"/>
      <c r="N165" s="222">
        <f t="shared" si="174"/>
        <v>0.53145336225596529</v>
      </c>
      <c r="O165" s="177">
        <f t="shared" si="237"/>
        <v>5.2709544468546632</v>
      </c>
      <c r="P165" s="177">
        <f t="shared" si="238"/>
        <v>3.9532158351409978</v>
      </c>
      <c r="Q165" s="222">
        <f t="shared" si="177"/>
        <v>0.43924620390455527</v>
      </c>
      <c r="R165" s="222">
        <f t="shared" si="239"/>
        <v>0.43924620390455527</v>
      </c>
      <c r="S165" s="222">
        <f t="shared" si="240"/>
        <v>12</v>
      </c>
      <c r="T165" s="222">
        <f t="shared" si="241"/>
        <v>0.72624418188327977</v>
      </c>
      <c r="U165" s="222">
        <f t="shared" si="181"/>
        <v>2.8242829295460878</v>
      </c>
      <c r="V165" s="222">
        <f t="shared" si="182"/>
        <v>2.4899800521712447</v>
      </c>
      <c r="W165" s="202">
        <f t="shared" si="183"/>
        <v>350</v>
      </c>
      <c r="X165" s="453">
        <f t="shared" si="184"/>
        <v>188.17284794529394</v>
      </c>
      <c r="Z165" s="222">
        <f t="shared" si="185"/>
        <v>0.39045553145336231</v>
      </c>
      <c r="AA165" s="178">
        <f t="shared" si="186"/>
        <v>1.3387046792686708</v>
      </c>
      <c r="AB165" s="178">
        <f t="shared" si="242"/>
        <v>0.12196441763402208</v>
      </c>
      <c r="AC165" s="178"/>
      <c r="AD165" s="178">
        <f t="shared" si="188"/>
        <v>0.99428571428571422</v>
      </c>
      <c r="AE165" s="562">
        <f t="shared" si="243"/>
        <v>762.98057867617945</v>
      </c>
      <c r="AF165" s="545">
        <f t="shared" si="244"/>
        <v>0.10091999999999998</v>
      </c>
      <c r="AH165" s="178">
        <f t="shared" si="245"/>
        <v>0.51902577498814151</v>
      </c>
      <c r="AI165" s="178">
        <f t="shared" si="246"/>
        <v>0.72624418188327977</v>
      </c>
      <c r="AJ165" s="178">
        <f t="shared" si="247"/>
        <v>1.523143838432059</v>
      </c>
      <c r="AL165" s="562">
        <f t="shared" si="248"/>
        <v>220.00000000000003</v>
      </c>
      <c r="AM165" s="471">
        <f t="shared" si="249"/>
        <v>188.17284794529394</v>
      </c>
      <c r="AO165">
        <f t="shared" si="196"/>
        <v>220.00000000000003</v>
      </c>
      <c r="AP165">
        <f t="shared" si="197"/>
        <v>188.17284794529394</v>
      </c>
      <c r="AR165" s="5">
        <f t="shared" si="233"/>
        <v>5.3142629817173326</v>
      </c>
      <c r="AS165" s="5">
        <f t="shared" si="230"/>
        <v>2.8242829295460878</v>
      </c>
      <c r="AT165" s="5">
        <f t="shared" si="231"/>
        <v>2.4899800521712447</v>
      </c>
      <c r="AU165" s="178">
        <f t="shared" si="232"/>
        <v>0.53145336225596529</v>
      </c>
      <c r="AW165" s="5">
        <f t="shared" si="201"/>
        <v>5.1778520375011619</v>
      </c>
      <c r="AX165" s="5">
        <f t="shared" si="202"/>
        <v>2.5889260187505809</v>
      </c>
      <c r="AY165" s="5">
        <f t="shared" si="203"/>
        <v>0.26695692567138102</v>
      </c>
      <c r="AZ165" s="5"/>
      <c r="BA165" s="178">
        <f t="shared" si="204"/>
        <v>0.30567126784338661</v>
      </c>
      <c r="BB165" s="178">
        <f t="shared" si="205"/>
        <v>0.57402188084237604</v>
      </c>
      <c r="BC165" s="178">
        <f t="shared" si="206"/>
        <v>0.28701094042118802</v>
      </c>
      <c r="BD165" s="178"/>
      <c r="BE165" s="545">
        <f t="shared" si="207"/>
        <v>3.2702223394744184E-2</v>
      </c>
      <c r="BF165" s="545">
        <f t="shared" si="208"/>
        <v>4.725E-2</v>
      </c>
      <c r="BG165" s="545">
        <f t="shared" si="209"/>
        <v>2.3521605993161742E-3</v>
      </c>
      <c r="BH165" s="545">
        <f t="shared" si="210"/>
        <v>1.9995340909090904E-2</v>
      </c>
      <c r="BI165">
        <f t="shared" si="211"/>
        <v>6.2640000000000005E-3</v>
      </c>
      <c r="BK165" s="471">
        <f t="shared" si="212"/>
        <v>108.56372490315127</v>
      </c>
      <c r="BL165" s="178">
        <f t="shared" si="213"/>
        <v>6.6000000000000003E-2</v>
      </c>
      <c r="BM165" s="178">
        <f t="shared" si="214"/>
        <v>3.3000000000000002E-2</v>
      </c>
      <c r="BN165" s="545"/>
      <c r="BP165" s="471">
        <f t="shared" si="215"/>
        <v>99</v>
      </c>
      <c r="BQ165" s="545">
        <f t="shared" si="216"/>
        <v>8.8763177785734226E-3</v>
      </c>
      <c r="BR165" s="545">
        <f t="shared" si="217"/>
        <v>2.9655100771723706E-2</v>
      </c>
      <c r="BS165" s="545">
        <f t="shared" si="218"/>
        <v>8.2375279921454748E-3</v>
      </c>
      <c r="BT165" s="545">
        <f t="shared" si="219"/>
        <v>1.0916139186003948E-2</v>
      </c>
      <c r="BU165" s="545"/>
      <c r="BV165" s="655">
        <f t="shared" si="250"/>
        <v>2.233082706766918E-2</v>
      </c>
      <c r="BW165" s="471">
        <f t="shared" si="221"/>
        <v>80.015912796115728</v>
      </c>
      <c r="BX165" s="178">
        <f t="shared" si="222"/>
        <v>0.28757963769926698</v>
      </c>
      <c r="BY165" s="5">
        <f t="shared" si="223"/>
        <v>3.9600000000000009</v>
      </c>
      <c r="BZ165" s="178">
        <f t="shared" si="224"/>
        <v>0.93229564546668831</v>
      </c>
      <c r="CA165" s="5">
        <f t="shared" si="225"/>
        <v>93.229564546668826</v>
      </c>
      <c r="CB165">
        <f t="shared" si="226"/>
        <v>55.000000000000007</v>
      </c>
      <c r="CD165" s="580">
        <f t="shared" si="251"/>
        <v>-50</v>
      </c>
      <c r="CE165">
        <f t="shared" si="252"/>
        <v>-50</v>
      </c>
    </row>
    <row r="166" spans="5:83" x14ac:dyDescent="0.2">
      <c r="E166" s="175">
        <v>56</v>
      </c>
      <c r="F166" s="222">
        <f t="shared" si="253"/>
        <v>0.22400000000000003</v>
      </c>
      <c r="G166" s="222">
        <f t="shared" si="234"/>
        <v>0.11200000000000002</v>
      </c>
      <c r="H166" s="222">
        <f t="shared" si="235"/>
        <v>2.6880000000000006</v>
      </c>
      <c r="I166" s="222">
        <f t="shared" si="236"/>
        <v>1.3440000000000003</v>
      </c>
      <c r="J166" s="558">
        <f t="shared" si="171"/>
        <v>21.6</v>
      </c>
      <c r="K166" s="453">
        <f t="shared" si="172"/>
        <v>24.5</v>
      </c>
      <c r="L166" s="453">
        <f t="shared" si="173"/>
        <v>46.1</v>
      </c>
      <c r="M166" s="453"/>
      <c r="N166" s="222">
        <f t="shared" si="174"/>
        <v>0.53145336225596529</v>
      </c>
      <c r="O166" s="177">
        <f t="shared" si="237"/>
        <v>5.2709544468546632</v>
      </c>
      <c r="P166" s="177">
        <f t="shared" si="238"/>
        <v>3.9532158351409978</v>
      </c>
      <c r="Q166" s="222">
        <f t="shared" si="177"/>
        <v>0.43924620390455527</v>
      </c>
      <c r="R166" s="222">
        <f t="shared" si="239"/>
        <v>0.43924620390455527</v>
      </c>
      <c r="S166" s="222">
        <f t="shared" si="240"/>
        <v>12</v>
      </c>
      <c r="T166" s="222">
        <f t="shared" si="241"/>
        <v>0.73944862155388491</v>
      </c>
      <c r="U166" s="222">
        <f t="shared" si="181"/>
        <v>2.8756335282651073</v>
      </c>
      <c r="V166" s="222">
        <f t="shared" si="182"/>
        <v>2.5352524167561761</v>
      </c>
      <c r="W166" s="202">
        <f t="shared" si="183"/>
        <v>350</v>
      </c>
      <c r="X166" s="453">
        <f t="shared" si="184"/>
        <v>184.81261851769946</v>
      </c>
      <c r="Z166" s="222">
        <f t="shared" si="185"/>
        <v>0.39045553145336231</v>
      </c>
      <c r="AA166" s="178">
        <f t="shared" si="186"/>
        <v>1.3387046792686708</v>
      </c>
      <c r="AB166" s="178">
        <f t="shared" si="242"/>
        <v>0.12196441763402208</v>
      </c>
      <c r="AC166" s="178"/>
      <c r="AD166" s="178">
        <f t="shared" si="188"/>
        <v>0.99428571428571422</v>
      </c>
      <c r="AE166" s="562">
        <f t="shared" si="243"/>
        <v>776.85295283392816</v>
      </c>
      <c r="AF166" s="545">
        <f t="shared" si="244"/>
        <v>0.10091999999999998</v>
      </c>
      <c r="AH166" s="178">
        <f t="shared" si="245"/>
        <v>0.5237229365663818</v>
      </c>
      <c r="AI166" s="178">
        <f t="shared" si="246"/>
        <v>0.73944862155388491</v>
      </c>
      <c r="AJ166" s="178">
        <f t="shared" si="247"/>
        <v>1.5329249048547295</v>
      </c>
      <c r="AL166" s="562">
        <f t="shared" si="248"/>
        <v>224.00000000000003</v>
      </c>
      <c r="AM166" s="471">
        <f t="shared" si="249"/>
        <v>184.81261851769946</v>
      </c>
      <c r="AO166">
        <f t="shared" si="196"/>
        <v>224.00000000000003</v>
      </c>
      <c r="AP166">
        <f t="shared" si="197"/>
        <v>184.81261851769946</v>
      </c>
      <c r="AR166" s="5">
        <f t="shared" si="233"/>
        <v>5.4108859450212821</v>
      </c>
      <c r="AS166" s="5">
        <f t="shared" si="230"/>
        <v>2.8756335282651073</v>
      </c>
      <c r="AT166" s="5">
        <f t="shared" si="231"/>
        <v>2.5352524167561747</v>
      </c>
      <c r="AU166" s="178">
        <f t="shared" si="232"/>
        <v>0.5314533622559654</v>
      </c>
      <c r="AW166" s="5">
        <f t="shared" si="201"/>
        <v>5.367849252761534</v>
      </c>
      <c r="AX166" s="5">
        <f t="shared" si="202"/>
        <v>2.683924626380767</v>
      </c>
      <c r="AY166" s="5">
        <f t="shared" si="203"/>
        <v>0.2767527004646117</v>
      </c>
      <c r="AZ166" s="5"/>
      <c r="BA166" s="178">
        <f t="shared" si="204"/>
        <v>0.31122892725872098</v>
      </c>
      <c r="BB166" s="178">
        <f t="shared" si="205"/>
        <v>0.58445864231223743</v>
      </c>
      <c r="BC166" s="178">
        <f t="shared" si="206"/>
        <v>0.29222932115611872</v>
      </c>
      <c r="BD166" s="178"/>
      <c r="BE166" s="545">
        <f t="shared" si="207"/>
        <v>3.3902205806914977E-2</v>
      </c>
      <c r="BF166" s="545">
        <f t="shared" si="208"/>
        <v>4.7250000000000021E-2</v>
      </c>
      <c r="BG166" s="545">
        <f t="shared" si="209"/>
        <v>2.3101577314712431E-3</v>
      </c>
      <c r="BH166" s="545">
        <f t="shared" si="210"/>
        <v>1.9638281250000004E-2</v>
      </c>
      <c r="BI166">
        <f t="shared" si="211"/>
        <v>6.2640000000000005E-3</v>
      </c>
      <c r="BK166" s="471">
        <f t="shared" si="212"/>
        <v>109.36464478838624</v>
      </c>
      <c r="BL166" s="178">
        <f t="shared" si="213"/>
        <v>6.720000000000001E-2</v>
      </c>
      <c r="BM166" s="178">
        <f t="shared" si="214"/>
        <v>3.3600000000000005E-2</v>
      </c>
      <c r="BN166" s="545"/>
      <c r="BP166" s="471">
        <f t="shared" si="215"/>
        <v>100.80000000000001</v>
      </c>
      <c r="BQ166" s="545">
        <f t="shared" si="216"/>
        <v>9.2020272904483526E-3</v>
      </c>
      <c r="BR166" s="545">
        <f t="shared" si="217"/>
        <v>3.0743271411611747E-2</v>
      </c>
      <c r="BS166" s="545">
        <f t="shared" si="218"/>
        <v>8.5397976143365972E-3</v>
      </c>
      <c r="BT166" s="545">
        <f t="shared" si="219"/>
        <v>1.0916139186003971E-2</v>
      </c>
      <c r="BU166" s="545"/>
      <c r="BV166" s="655">
        <f t="shared" si="250"/>
        <v>2.2736842105263177E-2</v>
      </c>
      <c r="BW166" s="471">
        <f t="shared" si="221"/>
        <v>82.13807760766386</v>
      </c>
      <c r="BX166" s="178">
        <f t="shared" si="222"/>
        <v>0.2923027223960501</v>
      </c>
      <c r="BY166" s="5">
        <f t="shared" si="223"/>
        <v>4.0320000000000009</v>
      </c>
      <c r="BZ166" s="178">
        <f t="shared" si="224"/>
        <v>0.9324046577770374</v>
      </c>
      <c r="CA166" s="5">
        <f t="shared" si="225"/>
        <v>93.240465777703747</v>
      </c>
      <c r="CB166">
        <f t="shared" si="226"/>
        <v>56.000000000000007</v>
      </c>
      <c r="CD166" s="580">
        <f t="shared" si="251"/>
        <v>-50</v>
      </c>
      <c r="CE166">
        <f t="shared" si="252"/>
        <v>-50</v>
      </c>
    </row>
    <row r="167" spans="5:83" x14ac:dyDescent="0.2">
      <c r="E167" s="175">
        <v>57</v>
      </c>
      <c r="F167" s="222">
        <f t="shared" si="253"/>
        <v>0.22799999999999998</v>
      </c>
      <c r="G167" s="222">
        <f t="shared" si="234"/>
        <v>0.11399999999999999</v>
      </c>
      <c r="H167" s="222">
        <f t="shared" si="235"/>
        <v>2.7359999999999998</v>
      </c>
      <c r="I167" s="222">
        <f t="shared" si="236"/>
        <v>1.3679999999999999</v>
      </c>
      <c r="J167" s="558">
        <f t="shared" si="171"/>
        <v>21.6</v>
      </c>
      <c r="K167" s="453">
        <f t="shared" si="172"/>
        <v>24.5</v>
      </c>
      <c r="L167" s="453">
        <f t="shared" si="173"/>
        <v>46.1</v>
      </c>
      <c r="M167" s="453"/>
      <c r="N167" s="222">
        <f t="shared" si="174"/>
        <v>0.53145336225596529</v>
      </c>
      <c r="O167" s="177">
        <f t="shared" si="237"/>
        <v>5.2709544468546632</v>
      </c>
      <c r="P167" s="177">
        <f t="shared" si="238"/>
        <v>3.9532158351409978</v>
      </c>
      <c r="Q167" s="222">
        <f t="shared" si="177"/>
        <v>0.43924620390455527</v>
      </c>
      <c r="R167" s="222">
        <f t="shared" si="239"/>
        <v>0.43924620390455527</v>
      </c>
      <c r="S167" s="222">
        <f t="shared" si="240"/>
        <v>12</v>
      </c>
      <c r="T167" s="222">
        <f t="shared" si="241"/>
        <v>0.75265306122448961</v>
      </c>
      <c r="U167" s="222">
        <f t="shared" si="181"/>
        <v>2.9269841269841259</v>
      </c>
      <c r="V167" s="222">
        <f t="shared" si="182"/>
        <v>2.580524781341107</v>
      </c>
      <c r="W167" s="202">
        <f t="shared" si="183"/>
        <v>350</v>
      </c>
      <c r="X167" s="453">
        <f t="shared" si="184"/>
        <v>181.57029187703807</v>
      </c>
      <c r="Z167" s="222">
        <f t="shared" si="185"/>
        <v>0.39045553145336231</v>
      </c>
      <c r="AA167" s="178">
        <f t="shared" si="186"/>
        <v>1.3387046792686708</v>
      </c>
      <c r="AB167" s="178">
        <f t="shared" si="242"/>
        <v>0.12196441763402208</v>
      </c>
      <c r="AC167" s="178"/>
      <c r="AD167" s="178">
        <f t="shared" si="188"/>
        <v>0.99428571428571422</v>
      </c>
      <c r="AE167" s="562">
        <f t="shared" si="243"/>
        <v>790.72532699167675</v>
      </c>
      <c r="AF167" s="545">
        <f t="shared" si="244"/>
        <v>0.10091999999999998</v>
      </c>
      <c r="AH167" s="178">
        <f t="shared" si="245"/>
        <v>0.52837834311162657</v>
      </c>
      <c r="AI167" s="178">
        <f t="shared" si="246"/>
        <v>0.75265306122448961</v>
      </c>
      <c r="AJ167" s="178">
        <f t="shared" si="247"/>
        <v>1.5427059712773996</v>
      </c>
      <c r="AL167" s="562">
        <f t="shared" si="248"/>
        <v>227.99999999999997</v>
      </c>
      <c r="AM167" s="471">
        <f t="shared" si="249"/>
        <v>181.57029187703807</v>
      </c>
      <c r="AO167">
        <f t="shared" si="196"/>
        <v>227.99999999999997</v>
      </c>
      <c r="AP167">
        <f t="shared" si="197"/>
        <v>181.57029187703807</v>
      </c>
      <c r="AR167" s="5">
        <f t="shared" si="233"/>
        <v>5.5075089083252342</v>
      </c>
      <c r="AS167" s="5">
        <f t="shared" si="230"/>
        <v>2.9269841269841259</v>
      </c>
      <c r="AT167" s="5">
        <f t="shared" si="231"/>
        <v>2.5805247813411083</v>
      </c>
      <c r="AU167" s="178">
        <f t="shared" si="232"/>
        <v>0.53145336225596518</v>
      </c>
      <c r="AW167" s="5">
        <f t="shared" si="201"/>
        <v>5.5612698412698389</v>
      </c>
      <c r="AX167" s="5">
        <f t="shared" si="202"/>
        <v>2.7806349206349195</v>
      </c>
      <c r="AY167" s="5">
        <f t="shared" si="203"/>
        <v>0.28672497570456751</v>
      </c>
      <c r="AZ167" s="5"/>
      <c r="BA167" s="178">
        <f t="shared" si="204"/>
        <v>0.31678658667405502</v>
      </c>
      <c r="BB167" s="178">
        <f t="shared" si="205"/>
        <v>0.5948954037820986</v>
      </c>
      <c r="BC167" s="178">
        <f t="shared" si="206"/>
        <v>0.2974477018910493</v>
      </c>
      <c r="BD167" s="178"/>
      <c r="BE167" s="545">
        <f t="shared" si="207"/>
        <v>3.5123809523809495E-2</v>
      </c>
      <c r="BF167" s="545">
        <f t="shared" si="208"/>
        <v>4.7249999999999993E-2</v>
      </c>
      <c r="BG167" s="545">
        <f t="shared" si="209"/>
        <v>2.2696286484629761E-3</v>
      </c>
      <c r="BH167" s="545">
        <f t="shared" si="210"/>
        <v>1.9293750000000005E-2</v>
      </c>
      <c r="BI167">
        <f t="shared" si="211"/>
        <v>6.2640000000000005E-3</v>
      </c>
      <c r="BK167" s="471">
        <f t="shared" si="212"/>
        <v>110.20118817227247</v>
      </c>
      <c r="BL167" s="178">
        <f t="shared" si="213"/>
        <v>6.8399999999999989E-2</v>
      </c>
      <c r="BM167" s="178">
        <f t="shared" si="214"/>
        <v>3.4199999999999994E-2</v>
      </c>
      <c r="BN167" s="545"/>
      <c r="BP167" s="471">
        <f t="shared" si="215"/>
        <v>102.59999999999998</v>
      </c>
      <c r="BQ167" s="545">
        <f t="shared" si="216"/>
        <v>9.5336054421768634E-3</v>
      </c>
      <c r="BR167" s="545">
        <f t="shared" si="217"/>
        <v>3.1851048729695949E-2</v>
      </c>
      <c r="BS167" s="545">
        <f t="shared" si="218"/>
        <v>8.8475135360266532E-3</v>
      </c>
      <c r="BT167" s="545">
        <f t="shared" si="219"/>
        <v>1.0916139186003931E-2</v>
      </c>
      <c r="BU167" s="545"/>
      <c r="BV167" s="655">
        <f t="shared" si="250"/>
        <v>2.3142857142857139E-2</v>
      </c>
      <c r="BW167" s="471">
        <f t="shared" si="221"/>
        <v>84.291164036760534</v>
      </c>
      <c r="BX167" s="178">
        <f t="shared" si="222"/>
        <v>0.29709235220903296</v>
      </c>
      <c r="BY167" s="5">
        <f t="shared" si="223"/>
        <v>4.1039999999999992</v>
      </c>
      <c r="BZ167" s="178">
        <f t="shared" si="224"/>
        <v>0.93249576958776748</v>
      </c>
      <c r="CA167" s="5">
        <f t="shared" si="225"/>
        <v>93.249576958776743</v>
      </c>
      <c r="CB167">
        <f t="shared" si="226"/>
        <v>56.999999999999993</v>
      </c>
      <c r="CD167" s="580">
        <f t="shared" si="251"/>
        <v>-50</v>
      </c>
      <c r="CE167">
        <f t="shared" si="252"/>
        <v>-50</v>
      </c>
    </row>
    <row r="168" spans="5:83" x14ac:dyDescent="0.2">
      <c r="E168" s="175">
        <v>58</v>
      </c>
      <c r="F168" s="222">
        <f t="shared" si="253"/>
        <v>0.23199999999999998</v>
      </c>
      <c r="G168" s="222">
        <f t="shared" si="234"/>
        <v>0.11599999999999999</v>
      </c>
      <c r="H168" s="222">
        <f t="shared" si="235"/>
        <v>2.7839999999999998</v>
      </c>
      <c r="I168" s="222">
        <f t="shared" si="236"/>
        <v>1.3919999999999999</v>
      </c>
      <c r="J168" s="558">
        <f t="shared" si="171"/>
        <v>21.6</v>
      </c>
      <c r="K168" s="453">
        <f t="shared" si="172"/>
        <v>24.5</v>
      </c>
      <c r="L168" s="453">
        <f t="shared" si="173"/>
        <v>46.1</v>
      </c>
      <c r="M168" s="453"/>
      <c r="N168" s="222">
        <f t="shared" si="174"/>
        <v>0.53145336225596529</v>
      </c>
      <c r="O168" s="177">
        <f t="shared" si="237"/>
        <v>5.2709544468546632</v>
      </c>
      <c r="P168" s="177">
        <f t="shared" si="238"/>
        <v>3.9532158351409978</v>
      </c>
      <c r="Q168" s="222">
        <f t="shared" si="177"/>
        <v>0.43924620390455527</v>
      </c>
      <c r="R168" s="222">
        <f t="shared" si="239"/>
        <v>0.43924620390455527</v>
      </c>
      <c r="S168" s="222">
        <f t="shared" si="240"/>
        <v>12</v>
      </c>
      <c r="T168" s="222">
        <f t="shared" si="241"/>
        <v>0.76585750089509486</v>
      </c>
      <c r="U168" s="222">
        <f t="shared" si="181"/>
        <v>2.9783347257031463</v>
      </c>
      <c r="V168" s="222">
        <f t="shared" si="182"/>
        <v>2.6257971459260396</v>
      </c>
      <c r="W168" s="202">
        <f t="shared" si="183"/>
        <v>350</v>
      </c>
      <c r="X168" s="453">
        <f t="shared" si="184"/>
        <v>178.43976960329601</v>
      </c>
      <c r="Z168" s="222">
        <f t="shared" si="185"/>
        <v>0.39045553145336231</v>
      </c>
      <c r="AA168" s="178">
        <f t="shared" si="186"/>
        <v>1.3387046792686708</v>
      </c>
      <c r="AB168" s="178">
        <f t="shared" si="242"/>
        <v>0.12196441763402208</v>
      </c>
      <c r="AC168" s="178"/>
      <c r="AD168" s="178">
        <f t="shared" si="188"/>
        <v>0.99428571428571422</v>
      </c>
      <c r="AE168" s="562">
        <f t="shared" si="243"/>
        <v>804.59770114942546</v>
      </c>
      <c r="AF168" s="545">
        <f t="shared" si="244"/>
        <v>0.10091999999999998</v>
      </c>
      <c r="AH168" s="178">
        <f t="shared" si="245"/>
        <v>0.53299308874793228</v>
      </c>
      <c r="AI168" s="178">
        <f t="shared" si="246"/>
        <v>0.76585750089509486</v>
      </c>
      <c r="AJ168" s="178">
        <f t="shared" si="247"/>
        <v>1.5524870377000703</v>
      </c>
      <c r="AL168" s="562">
        <f t="shared" si="248"/>
        <v>231.99999999999997</v>
      </c>
      <c r="AM168" s="471">
        <f t="shared" si="249"/>
        <v>178.43976960329601</v>
      </c>
      <c r="AO168">
        <f t="shared" si="196"/>
        <v>231.99999999999997</v>
      </c>
      <c r="AP168">
        <f t="shared" si="197"/>
        <v>178.43976960329601</v>
      </c>
      <c r="AR168" s="5">
        <f t="shared" si="233"/>
        <v>5.6041318716291855</v>
      </c>
      <c r="AS168" s="5">
        <f t="shared" si="230"/>
        <v>2.9783347257031463</v>
      </c>
      <c r="AT168" s="5">
        <f t="shared" si="231"/>
        <v>2.6257971459260392</v>
      </c>
      <c r="AU168" s="178">
        <f t="shared" si="232"/>
        <v>0.53145336225596529</v>
      </c>
      <c r="AW168" s="5">
        <f t="shared" si="201"/>
        <v>5.7581138030260828</v>
      </c>
      <c r="AX168" s="5">
        <f t="shared" si="202"/>
        <v>2.8790569015130414</v>
      </c>
      <c r="AY168" s="5">
        <f t="shared" si="203"/>
        <v>0.296873751391248</v>
      </c>
      <c r="AZ168" s="5"/>
      <c r="BA168" s="178">
        <f t="shared" si="204"/>
        <v>0.32234424608938944</v>
      </c>
      <c r="BB168" s="178">
        <f t="shared" si="205"/>
        <v>0.60533216525195999</v>
      </c>
      <c r="BC168" s="178">
        <f t="shared" si="206"/>
        <v>0.30266608262597999</v>
      </c>
      <c r="BD168" s="178"/>
      <c r="BE168" s="545">
        <f t="shared" si="207"/>
        <v>3.6367034545427904E-2</v>
      </c>
      <c r="BF168" s="545">
        <f t="shared" si="208"/>
        <v>4.7249999999999993E-2</v>
      </c>
      <c r="BG168" s="545">
        <f t="shared" si="209"/>
        <v>2.2304971200411998E-3</v>
      </c>
      <c r="BH168" s="545">
        <f t="shared" si="210"/>
        <v>1.8961099137931037E-2</v>
      </c>
      <c r="BI168">
        <f t="shared" si="211"/>
        <v>6.2640000000000005E-3</v>
      </c>
      <c r="BK168" s="471">
        <f t="shared" si="212"/>
        <v>111.07263080340014</v>
      </c>
      <c r="BL168" s="178">
        <f t="shared" si="213"/>
        <v>6.9599999999999995E-2</v>
      </c>
      <c r="BM168" s="178">
        <f t="shared" si="214"/>
        <v>3.4799999999999998E-2</v>
      </c>
      <c r="BN168" s="545"/>
      <c r="BP168" s="471">
        <f t="shared" si="215"/>
        <v>104.39999999999999</v>
      </c>
      <c r="BQ168" s="545">
        <f t="shared" si="216"/>
        <v>9.8710522337590017E-3</v>
      </c>
      <c r="BR168" s="545">
        <f t="shared" si="217"/>
        <v>3.297843272597635E-2</v>
      </c>
      <c r="BS168" s="545">
        <f t="shared" si="218"/>
        <v>9.1606757572156548E-3</v>
      </c>
      <c r="BT168" s="545">
        <f t="shared" si="219"/>
        <v>1.0916139186003947E-2</v>
      </c>
      <c r="BU168" s="545"/>
      <c r="BV168" s="655">
        <f t="shared" si="250"/>
        <v>2.3548872180451128E-2</v>
      </c>
      <c r="BW168" s="471">
        <f t="shared" si="221"/>
        <v>86.475172083406079</v>
      </c>
      <c r="BX168" s="178">
        <f t="shared" si="222"/>
        <v>0.30194780288680617</v>
      </c>
      <c r="BY168" s="5">
        <f t="shared" si="223"/>
        <v>4.1760000000000002</v>
      </c>
      <c r="BZ168" s="178">
        <f t="shared" si="224"/>
        <v>0.93257004856283743</v>
      </c>
      <c r="CA168" s="5">
        <f t="shared" si="225"/>
        <v>93.257004856283743</v>
      </c>
      <c r="CB168">
        <f t="shared" si="226"/>
        <v>57.999999999999993</v>
      </c>
      <c r="CD168" s="580">
        <f t="shared" si="251"/>
        <v>-50</v>
      </c>
      <c r="CE168">
        <f t="shared" si="252"/>
        <v>-50</v>
      </c>
    </row>
    <row r="169" spans="5:83" x14ac:dyDescent="0.2">
      <c r="E169" s="175">
        <v>59</v>
      </c>
      <c r="F169" s="222">
        <f t="shared" si="253"/>
        <v>0.23599999999999999</v>
      </c>
      <c r="G169" s="222">
        <f t="shared" si="234"/>
        <v>0.11799999999999999</v>
      </c>
      <c r="H169" s="222">
        <f t="shared" si="235"/>
        <v>2.8319999999999999</v>
      </c>
      <c r="I169" s="222">
        <f t="shared" si="236"/>
        <v>1.4159999999999999</v>
      </c>
      <c r="J169" s="558">
        <f t="shared" si="171"/>
        <v>21.6</v>
      </c>
      <c r="K169" s="453">
        <f t="shared" si="172"/>
        <v>24.5</v>
      </c>
      <c r="L169" s="453">
        <f t="shared" si="173"/>
        <v>46.1</v>
      </c>
      <c r="M169" s="453"/>
      <c r="N169" s="222">
        <f t="shared" si="174"/>
        <v>0.53145336225596529</v>
      </c>
      <c r="O169" s="177">
        <f t="shared" si="237"/>
        <v>5.2709544468546632</v>
      </c>
      <c r="P169" s="177">
        <f t="shared" si="238"/>
        <v>3.9532158351409978</v>
      </c>
      <c r="Q169" s="222">
        <f t="shared" si="177"/>
        <v>0.43924620390455527</v>
      </c>
      <c r="R169" s="222">
        <f t="shared" si="239"/>
        <v>0.43924620390455527</v>
      </c>
      <c r="S169" s="222">
        <f t="shared" si="240"/>
        <v>12</v>
      </c>
      <c r="T169" s="222">
        <f t="shared" si="241"/>
        <v>0.77906194056569977</v>
      </c>
      <c r="U169" s="222">
        <f t="shared" si="181"/>
        <v>3.0296853244221658</v>
      </c>
      <c r="V169" s="222">
        <f t="shared" si="182"/>
        <v>2.671069510510971</v>
      </c>
      <c r="W169" s="202">
        <f t="shared" si="183"/>
        <v>350</v>
      </c>
      <c r="X169" s="453">
        <f t="shared" si="184"/>
        <v>175.41536672866388</v>
      </c>
      <c r="Z169" s="222">
        <f t="shared" si="185"/>
        <v>0.39045553145336231</v>
      </c>
      <c r="AA169" s="178">
        <f t="shared" si="186"/>
        <v>1.3387046792686708</v>
      </c>
      <c r="AB169" s="178">
        <f t="shared" si="242"/>
        <v>0.12196441763402208</v>
      </c>
      <c r="AC169" s="178"/>
      <c r="AD169" s="178">
        <f t="shared" si="188"/>
        <v>0.99428571428571422</v>
      </c>
      <c r="AE169" s="562">
        <f t="shared" si="243"/>
        <v>818.47007530717417</v>
      </c>
      <c r="AF169" s="545">
        <f t="shared" si="244"/>
        <v>0.10091999999999998</v>
      </c>
      <c r="AH169" s="178">
        <f t="shared" si="245"/>
        <v>0.53756822063505083</v>
      </c>
      <c r="AI169" s="178">
        <f t="shared" si="246"/>
        <v>0.77906194056569977</v>
      </c>
      <c r="AJ169" s="178">
        <f t="shared" si="247"/>
        <v>1.5622681041227406</v>
      </c>
      <c r="AL169" s="562">
        <f t="shared" si="248"/>
        <v>236</v>
      </c>
      <c r="AM169" s="471">
        <f t="shared" si="249"/>
        <v>175.41536672866388</v>
      </c>
      <c r="AO169">
        <f t="shared" si="196"/>
        <v>236</v>
      </c>
      <c r="AP169">
        <f t="shared" si="197"/>
        <v>175.41536672866388</v>
      </c>
      <c r="AR169" s="5">
        <f t="shared" si="233"/>
        <v>5.7007548349331367</v>
      </c>
      <c r="AS169" s="5">
        <f t="shared" si="230"/>
        <v>3.0296853244221658</v>
      </c>
      <c r="AT169" s="5">
        <f t="shared" si="231"/>
        <v>2.671069510510971</v>
      </c>
      <c r="AU169" s="178">
        <f t="shared" si="232"/>
        <v>0.53145336225596529</v>
      </c>
      <c r="AW169" s="5">
        <f t="shared" si="201"/>
        <v>5.9583811380302585</v>
      </c>
      <c r="AX169" s="5">
        <f t="shared" si="202"/>
        <v>2.9791905690151292</v>
      </c>
      <c r="AY169" s="5">
        <f t="shared" si="203"/>
        <v>0.30719902752465356</v>
      </c>
      <c r="AZ169" s="5"/>
      <c r="BA169" s="178">
        <f t="shared" si="204"/>
        <v>0.32790190550472365</v>
      </c>
      <c r="BB169" s="178">
        <f t="shared" si="205"/>
        <v>0.61576892672182126</v>
      </c>
      <c r="BC169" s="178">
        <f t="shared" si="206"/>
        <v>0.30788446336091063</v>
      </c>
      <c r="BD169" s="178"/>
      <c r="BE169" s="545">
        <f t="shared" si="207"/>
        <v>3.7631880871770045E-2</v>
      </c>
      <c r="BF169" s="545">
        <f t="shared" si="208"/>
        <v>4.7249999999999986E-2</v>
      </c>
      <c r="BG169" s="545">
        <f t="shared" si="209"/>
        <v>2.1926920841082984E-3</v>
      </c>
      <c r="BH169" s="545">
        <f t="shared" si="210"/>
        <v>1.8639724576271187E-2</v>
      </c>
      <c r="BI169">
        <f t="shared" si="211"/>
        <v>6.2640000000000005E-3</v>
      </c>
      <c r="BK169" s="471">
        <f t="shared" si="212"/>
        <v>111.97829753214954</v>
      </c>
      <c r="BL169" s="178">
        <f t="shared" si="213"/>
        <v>7.0799999999999988E-2</v>
      </c>
      <c r="BM169" s="178">
        <f t="shared" si="214"/>
        <v>3.5399999999999994E-2</v>
      </c>
      <c r="BN169" s="545"/>
      <c r="BP169" s="471">
        <f t="shared" si="215"/>
        <v>106.19999999999999</v>
      </c>
      <c r="BQ169" s="545">
        <f t="shared" si="216"/>
        <v>1.0214367665194728E-2</v>
      </c>
      <c r="BR169" s="545">
        <f t="shared" si="217"/>
        <v>3.412542340045293E-2</v>
      </c>
      <c r="BS169" s="545">
        <f t="shared" si="218"/>
        <v>9.4792842779035935E-3</v>
      </c>
      <c r="BT169" s="545">
        <f t="shared" si="219"/>
        <v>1.0916139186003924E-2</v>
      </c>
      <c r="BU169" s="545"/>
      <c r="BV169" s="655">
        <f t="shared" si="250"/>
        <v>2.3954887218045104E-2</v>
      </c>
      <c r="BW169" s="471">
        <f t="shared" si="221"/>
        <v>88.690101747600281</v>
      </c>
      <c r="BX169" s="178">
        <f t="shared" si="222"/>
        <v>0.30686839927974985</v>
      </c>
      <c r="BY169" s="5">
        <f t="shared" si="223"/>
        <v>4.2479999999999993</v>
      </c>
      <c r="BZ169" s="178">
        <f t="shared" si="224"/>
        <v>0.93262848179581337</v>
      </c>
      <c r="CA169" s="5">
        <f t="shared" si="225"/>
        <v>93.26284817958134</v>
      </c>
      <c r="CB169">
        <f t="shared" si="226"/>
        <v>59</v>
      </c>
      <c r="CD169" s="580">
        <f t="shared" si="251"/>
        <v>-50</v>
      </c>
      <c r="CE169">
        <f t="shared" si="252"/>
        <v>-50</v>
      </c>
    </row>
    <row r="170" spans="5:83" x14ac:dyDescent="0.2">
      <c r="E170" s="175">
        <v>60</v>
      </c>
      <c r="F170" s="222">
        <f t="shared" si="253"/>
        <v>0.24</v>
      </c>
      <c r="G170" s="222">
        <f t="shared" si="234"/>
        <v>0.12</v>
      </c>
      <c r="H170" s="222">
        <f t="shared" si="235"/>
        <v>2.88</v>
      </c>
      <c r="I170" s="222">
        <f t="shared" si="236"/>
        <v>1.44</v>
      </c>
      <c r="J170" s="558">
        <f t="shared" si="171"/>
        <v>21.6</v>
      </c>
      <c r="K170" s="453">
        <f t="shared" si="172"/>
        <v>24.5</v>
      </c>
      <c r="L170" s="453">
        <f t="shared" si="173"/>
        <v>46.1</v>
      </c>
      <c r="M170" s="453"/>
      <c r="N170" s="222">
        <f t="shared" si="174"/>
        <v>0.53145336225596529</v>
      </c>
      <c r="O170" s="177">
        <f t="shared" si="237"/>
        <v>5.2709544468546632</v>
      </c>
      <c r="P170" s="177">
        <f t="shared" si="238"/>
        <v>3.9532158351409978</v>
      </c>
      <c r="Q170" s="222">
        <f t="shared" si="177"/>
        <v>0.43924620390455527</v>
      </c>
      <c r="R170" s="222">
        <f t="shared" si="239"/>
        <v>0.43924620390455527</v>
      </c>
      <c r="S170" s="222">
        <f t="shared" si="240"/>
        <v>12</v>
      </c>
      <c r="T170" s="222">
        <f t="shared" si="241"/>
        <v>0.79226638023630513</v>
      </c>
      <c r="U170" s="222">
        <f t="shared" si="181"/>
        <v>3.0810359231411861</v>
      </c>
      <c r="V170" s="222">
        <f t="shared" si="182"/>
        <v>2.7163418750959027</v>
      </c>
      <c r="W170" s="202">
        <f t="shared" si="183"/>
        <v>350</v>
      </c>
      <c r="X170" s="453">
        <f t="shared" si="184"/>
        <v>172.49177728318617</v>
      </c>
      <c r="Z170" s="222">
        <f t="shared" si="185"/>
        <v>0.39045553145336231</v>
      </c>
      <c r="AA170" s="178">
        <f t="shared" si="186"/>
        <v>1.3387046792686708</v>
      </c>
      <c r="AB170" s="178">
        <f t="shared" si="242"/>
        <v>0.12196441763402208</v>
      </c>
      <c r="AC170" s="178"/>
      <c r="AD170" s="178">
        <f t="shared" si="188"/>
        <v>0.99428571428571422</v>
      </c>
      <c r="AE170" s="562">
        <f t="shared" si="243"/>
        <v>832.34244946492288</v>
      </c>
      <c r="AF170" s="545">
        <f t="shared" si="244"/>
        <v>0.10091999999999998</v>
      </c>
      <c r="AH170" s="178">
        <f t="shared" si="245"/>
        <v>0.54210474174315082</v>
      </c>
      <c r="AI170" s="178">
        <f t="shared" si="246"/>
        <v>0.79226638023630513</v>
      </c>
      <c r="AJ170" s="178">
        <f t="shared" si="247"/>
        <v>1.5720491705454112</v>
      </c>
      <c r="AL170" s="562">
        <f t="shared" si="248"/>
        <v>240</v>
      </c>
      <c r="AM170" s="471">
        <f t="shared" si="249"/>
        <v>172.49177728318617</v>
      </c>
      <c r="AO170">
        <f t="shared" si="196"/>
        <v>240</v>
      </c>
      <c r="AP170">
        <f t="shared" si="197"/>
        <v>172.49177728318617</v>
      </c>
      <c r="AR170" s="5">
        <f t="shared" si="233"/>
        <v>5.797377798237088</v>
      </c>
      <c r="AS170" s="5">
        <f t="shared" si="230"/>
        <v>3.0810359231411861</v>
      </c>
      <c r="AT170" s="5">
        <f t="shared" si="231"/>
        <v>2.7163418750959019</v>
      </c>
      <c r="AU170" s="178">
        <f t="shared" si="232"/>
        <v>0.5314533622559654</v>
      </c>
      <c r="AW170" s="5">
        <f t="shared" ref="AW170:AW210" si="254">F170*AS170/Vout_ripple*1000</f>
        <v>6.1620718462823723</v>
      </c>
      <c r="AX170" s="5">
        <f t="shared" ref="AX170:AX210" si="255">G170*AS170/Vout_ripple2*1000</f>
        <v>3.0810359231411861</v>
      </c>
      <c r="AY170" s="5">
        <f t="shared" ref="AY170:AY210" si="256">H170/Efficiency/J170*AT170/Vinripple1</f>
        <v>0.3177008041047838</v>
      </c>
      <c r="AZ170" s="5"/>
      <c r="BA170" s="178">
        <f t="shared" ref="BA170:BA210" si="257">AI170*SQRT(AU170/3)</f>
        <v>0.33345956492005813</v>
      </c>
      <c r="BB170" s="178">
        <f t="shared" ref="BB170:BB210" si="258">AI170*Npri_sec1*SQRT((1-AU170)/3)*(Pout/Pout_total)</f>
        <v>0.62620568819168287</v>
      </c>
      <c r="BC170" s="178">
        <f t="shared" ref="BC170:BC210" si="259">AI170*Npri_sec2*SQRT((1-AU170)/3)*(Pout2/Pout_total)</f>
        <v>0.31310284409584144</v>
      </c>
      <c r="BD170" s="178"/>
      <c r="BE170" s="545">
        <f t="shared" ref="BE170:BE210" si="260">Rdson*BA170^2</f>
        <v>3.8918348502836063E-2</v>
      </c>
      <c r="BF170" s="545">
        <f t="shared" ref="BF170:BF210" si="261">0.5*L170*AI170*AM170*1000*Trise</f>
        <v>4.7250000000000007E-2</v>
      </c>
      <c r="BG170" s="545">
        <f t="shared" ref="BG170:BG210" si="262">Qg*Vdd*AM170*1000</f>
        <v>2.1561472160398268E-3</v>
      </c>
      <c r="BH170" s="545">
        <f t="shared" ref="BH170:BH210" si="263">0.5*(Coss+Csw)*L170^2*AM170*1000</f>
        <v>1.8329062500000003E-2</v>
      </c>
      <c r="BI170">
        <f t="shared" ref="BI170:BI210" si="264">J170*IQ</f>
        <v>6.2640000000000005E-3</v>
      </c>
      <c r="BK170" s="471">
        <f t="shared" ref="BK170:BK210" si="265">SUM(BE170:BI170)*1000</f>
        <v>112.91755821887591</v>
      </c>
      <c r="BL170" s="178">
        <f t="shared" ref="BL170:BL210" si="266">Vfwd2*F170</f>
        <v>7.1999999999999995E-2</v>
      </c>
      <c r="BM170" s="178">
        <f t="shared" ref="BM170:BM210" si="267">Vfwd2*G170</f>
        <v>3.5999999999999997E-2</v>
      </c>
      <c r="BN170" s="545"/>
      <c r="BP170" s="471">
        <f t="shared" ref="BP170:BP210" si="268">SUM(BL170:BO170)*1000</f>
        <v>107.99999999999999</v>
      </c>
      <c r="BQ170" s="545">
        <f t="shared" ref="BQ170:BQ210" si="269">Rdcr_pri*BA170^2</f>
        <v>1.0563551736484074E-2</v>
      </c>
      <c r="BR170" s="545">
        <f t="shared" ref="BR170:BR210" si="270">Rdcr_sec*BB170^2</f>
        <v>3.5292020753125722E-2</v>
      </c>
      <c r="BS170" s="545">
        <f t="shared" ref="BS170:BS210" si="271">Rdcr_sec2*BC170^2</f>
        <v>9.8033390980904796E-3</v>
      </c>
      <c r="BT170" s="545">
        <f t="shared" ref="BT170:BT210" si="272">AI170^2.5*AM170^2.5*k_core</f>
        <v>1.0916139186003959E-2</v>
      </c>
      <c r="BU170" s="545"/>
      <c r="BV170" s="655">
        <f t="shared" si="250"/>
        <v>2.4360902255639107E-2</v>
      </c>
      <c r="BW170" s="471">
        <f t="shared" ref="BW170:BW192" si="273">SUM(BQ170:BV170)*1000</f>
        <v>90.935953029343352</v>
      </c>
      <c r="BX170" s="178">
        <f t="shared" ref="BX170:BX192" si="274">SUM(BE170:BI170,BL170:BO170,BQ170:BV170)</f>
        <v>0.31185351124821925</v>
      </c>
      <c r="BY170" s="5">
        <f t="shared" ref="BY170:BY192" si="275">MIN(H170+I170,O170+P170)</f>
        <v>4.32</v>
      </c>
      <c r="BZ170" s="178">
        <f t="shared" ref="BZ170:BZ192" si="276">BY170/(BY170+BX170)</f>
        <v>0.93267198315082744</v>
      </c>
      <c r="CA170" s="5">
        <f t="shared" ref="CA170:CA192" si="277">BZ170*100</f>
        <v>93.267198315082737</v>
      </c>
      <c r="CB170">
        <f t="shared" ref="CB170:CB192" si="278">F170/Iout*100</f>
        <v>60</v>
      </c>
      <c r="CD170" s="580">
        <f t="shared" si="251"/>
        <v>-50</v>
      </c>
      <c r="CE170">
        <f t="shared" si="252"/>
        <v>-50</v>
      </c>
    </row>
    <row r="171" spans="5:83" x14ac:dyDescent="0.2">
      <c r="E171" s="175">
        <v>61</v>
      </c>
      <c r="F171" s="222">
        <f t="shared" si="253"/>
        <v>0.24399999999999999</v>
      </c>
      <c r="G171" s="222">
        <f t="shared" si="234"/>
        <v>0.122</v>
      </c>
      <c r="H171" s="222">
        <f t="shared" si="235"/>
        <v>2.9279999999999999</v>
      </c>
      <c r="I171" s="222">
        <f t="shared" si="236"/>
        <v>1.464</v>
      </c>
      <c r="J171" s="558">
        <f t="shared" si="171"/>
        <v>21.6</v>
      </c>
      <c r="K171" s="453">
        <f t="shared" si="172"/>
        <v>24.5</v>
      </c>
      <c r="L171" s="453">
        <f t="shared" si="173"/>
        <v>46.1</v>
      </c>
      <c r="M171" s="453"/>
      <c r="N171" s="222">
        <f t="shared" si="174"/>
        <v>0.53145336225596529</v>
      </c>
      <c r="O171" s="177">
        <f t="shared" si="237"/>
        <v>5.2709544468546632</v>
      </c>
      <c r="P171" s="177">
        <f t="shared" si="238"/>
        <v>3.9532158351409978</v>
      </c>
      <c r="Q171" s="222">
        <f t="shared" si="177"/>
        <v>0.43924620390455527</v>
      </c>
      <c r="R171" s="222">
        <f t="shared" si="239"/>
        <v>0.43924620390455527</v>
      </c>
      <c r="S171" s="222">
        <f t="shared" si="240"/>
        <v>12</v>
      </c>
      <c r="T171" s="222">
        <f t="shared" si="241"/>
        <v>0.80547081990691005</v>
      </c>
      <c r="U171" s="222">
        <f t="shared" si="181"/>
        <v>3.1323865218602052</v>
      </c>
      <c r="V171" s="222">
        <f t="shared" si="182"/>
        <v>2.7616142396808341</v>
      </c>
      <c r="W171" s="202">
        <f t="shared" si="183"/>
        <v>350</v>
      </c>
      <c r="X171" s="453">
        <f t="shared" si="184"/>
        <v>169.66404322936347</v>
      </c>
      <c r="Z171" s="222">
        <f t="shared" si="185"/>
        <v>0.39045553145336231</v>
      </c>
      <c r="AA171" s="178">
        <f t="shared" si="186"/>
        <v>1.3387046792686708</v>
      </c>
      <c r="AB171" s="178">
        <f t="shared" si="242"/>
        <v>0.12196441763402208</v>
      </c>
      <c r="AC171" s="178"/>
      <c r="AD171" s="178">
        <f t="shared" si="188"/>
        <v>0.99428571428571422</v>
      </c>
      <c r="AE171" s="562">
        <f t="shared" si="243"/>
        <v>846.2148236226717</v>
      </c>
      <c r="AF171" s="545">
        <f t="shared" si="244"/>
        <v>0.10091999999999998</v>
      </c>
      <c r="AH171" s="178">
        <f t="shared" si="245"/>
        <v>0.54660361342025687</v>
      </c>
      <c r="AI171" s="178">
        <f t="shared" si="246"/>
        <v>0.80547081990691005</v>
      </c>
      <c r="AJ171" s="178">
        <f t="shared" si="247"/>
        <v>1.5818302369680814</v>
      </c>
      <c r="AL171" s="562">
        <f t="shared" si="248"/>
        <v>244</v>
      </c>
      <c r="AM171" s="471">
        <f t="shared" si="249"/>
        <v>169.66404322936347</v>
      </c>
      <c r="AO171">
        <f t="shared" si="196"/>
        <v>244</v>
      </c>
      <c r="AP171">
        <f t="shared" si="197"/>
        <v>169.66404322936347</v>
      </c>
      <c r="AR171" s="5">
        <f t="shared" si="233"/>
        <v>5.8940007615410384</v>
      </c>
      <c r="AS171" s="5">
        <f t="shared" si="230"/>
        <v>3.1323865218602052</v>
      </c>
      <c r="AT171" s="5">
        <f t="shared" si="231"/>
        <v>2.7616142396808332</v>
      </c>
      <c r="AU171" s="178">
        <f t="shared" si="232"/>
        <v>0.5314533622559654</v>
      </c>
      <c r="AW171" s="5">
        <f t="shared" si="254"/>
        <v>6.369185927782417</v>
      </c>
      <c r="AX171" s="5">
        <f t="shared" si="255"/>
        <v>3.1845929638912085</v>
      </c>
      <c r="AY171" s="5">
        <f t="shared" si="256"/>
        <v>0.32837908113163905</v>
      </c>
      <c r="AZ171" s="5"/>
      <c r="BA171" s="178">
        <f t="shared" si="257"/>
        <v>0.33901722433539233</v>
      </c>
      <c r="BB171" s="178">
        <f t="shared" si="258"/>
        <v>0.63664244966154415</v>
      </c>
      <c r="BC171" s="178">
        <f t="shared" si="259"/>
        <v>0.31832122483077208</v>
      </c>
      <c r="BD171" s="178"/>
      <c r="BE171" s="545">
        <f t="shared" si="260"/>
        <v>4.0226437438625799E-2</v>
      </c>
      <c r="BF171" s="545">
        <f t="shared" si="261"/>
        <v>4.7250000000000007E-2</v>
      </c>
      <c r="BG171" s="545">
        <f t="shared" si="262"/>
        <v>2.1208005403670436E-3</v>
      </c>
      <c r="BH171" s="545">
        <f t="shared" si="263"/>
        <v>1.8028586065573778E-2</v>
      </c>
      <c r="BI171">
        <f t="shared" si="264"/>
        <v>6.2640000000000005E-3</v>
      </c>
      <c r="BK171" s="471">
        <f t="shared" si="265"/>
        <v>113.88982404456664</v>
      </c>
      <c r="BL171" s="178">
        <f t="shared" si="266"/>
        <v>7.3200000000000001E-2</v>
      </c>
      <c r="BM171" s="178">
        <f t="shared" si="267"/>
        <v>3.6600000000000001E-2</v>
      </c>
      <c r="BN171" s="545"/>
      <c r="BP171" s="471">
        <f t="shared" si="268"/>
        <v>109.80000000000001</v>
      </c>
      <c r="BQ171" s="545">
        <f t="shared" si="269"/>
        <v>1.0918604447627003E-2</v>
      </c>
      <c r="BR171" s="545">
        <f t="shared" si="270"/>
        <v>3.6478224783994657E-2</v>
      </c>
      <c r="BS171" s="545">
        <f t="shared" si="271"/>
        <v>1.0132840217776294E-2</v>
      </c>
      <c r="BT171" s="545">
        <f t="shared" si="272"/>
        <v>1.0916139186003933E-2</v>
      </c>
      <c r="BU171" s="545"/>
      <c r="BV171" s="655">
        <f t="shared" si="250"/>
        <v>2.4766917293233087E-2</v>
      </c>
      <c r="BW171" s="471">
        <f t="shared" si="273"/>
        <v>93.212725928634981</v>
      </c>
      <c r="BX171" s="178">
        <f t="shared" si="274"/>
        <v>0.31690254997320161</v>
      </c>
      <c r="BY171" s="5">
        <f t="shared" si="275"/>
        <v>4.3919999999999995</v>
      </c>
      <c r="BZ171" s="178">
        <f t="shared" si="276"/>
        <v>0.93270139982510247</v>
      </c>
      <c r="CA171" s="5">
        <f t="shared" si="277"/>
        <v>93.270139982510244</v>
      </c>
      <c r="CB171">
        <f t="shared" si="278"/>
        <v>61</v>
      </c>
      <c r="CD171" s="580">
        <f t="shared" si="251"/>
        <v>-50</v>
      </c>
      <c r="CE171">
        <f t="shared" si="252"/>
        <v>-50</v>
      </c>
    </row>
    <row r="172" spans="5:83" x14ac:dyDescent="0.2">
      <c r="E172" s="175">
        <v>62</v>
      </c>
      <c r="F172" s="222">
        <f t="shared" si="253"/>
        <v>0.248</v>
      </c>
      <c r="G172" s="222">
        <f t="shared" si="234"/>
        <v>0.124</v>
      </c>
      <c r="H172" s="222">
        <f t="shared" si="235"/>
        <v>2.976</v>
      </c>
      <c r="I172" s="222">
        <f t="shared" si="236"/>
        <v>1.488</v>
      </c>
      <c r="J172" s="558">
        <f t="shared" si="171"/>
        <v>21.6</v>
      </c>
      <c r="K172" s="453">
        <f t="shared" si="172"/>
        <v>24.5</v>
      </c>
      <c r="L172" s="453">
        <f t="shared" si="173"/>
        <v>46.1</v>
      </c>
      <c r="M172" s="453"/>
      <c r="N172" s="222">
        <f t="shared" si="174"/>
        <v>0.53145336225596529</v>
      </c>
      <c r="O172" s="177">
        <f t="shared" si="237"/>
        <v>5.2709544468546632</v>
      </c>
      <c r="P172" s="177">
        <f t="shared" si="238"/>
        <v>3.9532158351409978</v>
      </c>
      <c r="Q172" s="222">
        <f t="shared" si="177"/>
        <v>0.43924620390455527</v>
      </c>
      <c r="R172" s="222">
        <f t="shared" si="239"/>
        <v>0.43924620390455527</v>
      </c>
      <c r="S172" s="222">
        <f t="shared" si="240"/>
        <v>12</v>
      </c>
      <c r="T172" s="222">
        <f t="shared" si="241"/>
        <v>0.8186752595775153</v>
      </c>
      <c r="U172" s="222">
        <f t="shared" si="181"/>
        <v>3.183737120579226</v>
      </c>
      <c r="V172" s="222">
        <f t="shared" si="182"/>
        <v>2.8068866042657667</v>
      </c>
      <c r="W172" s="202">
        <f t="shared" si="183"/>
        <v>350</v>
      </c>
      <c r="X172" s="453">
        <f t="shared" si="184"/>
        <v>166.92752640308336</v>
      </c>
      <c r="Z172" s="222">
        <f t="shared" si="185"/>
        <v>0.39045553145336231</v>
      </c>
      <c r="AA172" s="178">
        <f t="shared" si="186"/>
        <v>1.3387046792686708</v>
      </c>
      <c r="AB172" s="178">
        <f t="shared" si="242"/>
        <v>0.12196441763402208</v>
      </c>
      <c r="AC172" s="178"/>
      <c r="AD172" s="178">
        <f t="shared" si="188"/>
        <v>0.99428571428571422</v>
      </c>
      <c r="AE172" s="562">
        <f t="shared" si="243"/>
        <v>860.0871977804203</v>
      </c>
      <c r="AF172" s="545">
        <f t="shared" si="244"/>
        <v>0.10091999999999998</v>
      </c>
      <c r="AH172" s="178">
        <f t="shared" si="245"/>
        <v>0.55106575777102607</v>
      </c>
      <c r="AI172" s="178">
        <f t="shared" si="246"/>
        <v>0.8186752595775153</v>
      </c>
      <c r="AJ172" s="178">
        <f t="shared" si="247"/>
        <v>1.591611303390752</v>
      </c>
      <c r="AL172" s="562">
        <f t="shared" si="248"/>
        <v>248</v>
      </c>
      <c r="AM172" s="471">
        <f t="shared" si="249"/>
        <v>166.92752640308336</v>
      </c>
      <c r="AO172">
        <f t="shared" si="196"/>
        <v>248</v>
      </c>
      <c r="AP172">
        <f t="shared" si="197"/>
        <v>166.92752640308336</v>
      </c>
      <c r="AR172" s="5">
        <f t="shared" si="233"/>
        <v>5.9906237248449914</v>
      </c>
      <c r="AS172" s="5">
        <f t="shared" si="230"/>
        <v>3.183737120579226</v>
      </c>
      <c r="AT172" s="5">
        <f t="shared" si="231"/>
        <v>2.8068866042657654</v>
      </c>
      <c r="AU172" s="178">
        <f t="shared" si="232"/>
        <v>0.5314533622559654</v>
      </c>
      <c r="AW172" s="5">
        <f t="shared" si="254"/>
        <v>6.5797233825304007</v>
      </c>
      <c r="AX172" s="5">
        <f t="shared" si="255"/>
        <v>3.2898616912652003</v>
      </c>
      <c r="AY172" s="5">
        <f t="shared" si="256"/>
        <v>0.33923385860521915</v>
      </c>
      <c r="AZ172" s="5"/>
      <c r="BA172" s="178">
        <f t="shared" si="257"/>
        <v>0.3445748837507267</v>
      </c>
      <c r="BB172" s="178">
        <f t="shared" si="258"/>
        <v>0.64707921113140565</v>
      </c>
      <c r="BC172" s="178">
        <f t="shared" si="259"/>
        <v>0.32353960556570283</v>
      </c>
      <c r="BD172" s="178"/>
      <c r="BE172" s="545">
        <f t="shared" si="260"/>
        <v>4.1556147679139385E-2</v>
      </c>
      <c r="BF172" s="545">
        <f t="shared" si="261"/>
        <v>4.725E-2</v>
      </c>
      <c r="BG172" s="545">
        <f t="shared" si="262"/>
        <v>2.086594080038542E-3</v>
      </c>
      <c r="BH172" s="545">
        <f t="shared" si="263"/>
        <v>1.7737802419354839E-2</v>
      </c>
      <c r="BI172">
        <f t="shared" si="264"/>
        <v>6.2640000000000005E-3</v>
      </c>
      <c r="BK172" s="471">
        <f t="shared" si="265"/>
        <v>114.89454417853277</v>
      </c>
      <c r="BL172" s="178">
        <f t="shared" si="266"/>
        <v>7.4399999999999994E-2</v>
      </c>
      <c r="BM172" s="178">
        <f t="shared" si="267"/>
        <v>3.7199999999999997E-2</v>
      </c>
      <c r="BN172" s="545"/>
      <c r="BP172" s="471">
        <f t="shared" si="268"/>
        <v>111.6</v>
      </c>
      <c r="BQ172" s="545">
        <f t="shared" si="269"/>
        <v>1.1279525798623548E-2</v>
      </c>
      <c r="BR172" s="545">
        <f t="shared" si="270"/>
        <v>3.7684035493059806E-2</v>
      </c>
      <c r="BS172" s="545">
        <f t="shared" si="271"/>
        <v>1.0467787636961058E-2</v>
      </c>
      <c r="BT172" s="545">
        <f t="shared" si="272"/>
        <v>1.0916139186003948E-2</v>
      </c>
      <c r="BU172" s="545"/>
      <c r="BV172" s="655">
        <f t="shared" si="250"/>
        <v>2.5172932330827073E-2</v>
      </c>
      <c r="BW172" s="471">
        <f t="shared" si="273"/>
        <v>95.520420445475423</v>
      </c>
      <c r="BX172" s="178">
        <f t="shared" si="274"/>
        <v>0.32201496462400814</v>
      </c>
      <c r="BY172" s="5">
        <f t="shared" si="275"/>
        <v>4.4640000000000004</v>
      </c>
      <c r="BZ172" s="178">
        <f t="shared" si="276"/>
        <v>0.9327175182267099</v>
      </c>
      <c r="CA172" s="5">
        <f t="shared" si="277"/>
        <v>93.271751822670993</v>
      </c>
      <c r="CB172">
        <f t="shared" si="278"/>
        <v>62</v>
      </c>
      <c r="CD172" s="580">
        <f t="shared" si="251"/>
        <v>-50</v>
      </c>
      <c r="CE172">
        <f t="shared" si="252"/>
        <v>-50</v>
      </c>
    </row>
    <row r="173" spans="5:83" x14ac:dyDescent="0.2">
      <c r="E173" s="175">
        <v>63</v>
      </c>
      <c r="F173" s="222">
        <f t="shared" si="253"/>
        <v>0.252</v>
      </c>
      <c r="G173" s="222">
        <f t="shared" si="234"/>
        <v>0.126</v>
      </c>
      <c r="H173" s="222">
        <f t="shared" si="235"/>
        <v>3.024</v>
      </c>
      <c r="I173" s="222">
        <f t="shared" si="236"/>
        <v>1.512</v>
      </c>
      <c r="J173" s="558">
        <f t="shared" si="171"/>
        <v>21.6</v>
      </c>
      <c r="K173" s="453">
        <f t="shared" si="172"/>
        <v>24.5</v>
      </c>
      <c r="L173" s="453">
        <f t="shared" si="173"/>
        <v>46.1</v>
      </c>
      <c r="M173" s="453"/>
      <c r="N173" s="222">
        <f t="shared" si="174"/>
        <v>0.53145336225596529</v>
      </c>
      <c r="O173" s="177">
        <f t="shared" si="237"/>
        <v>5.2709544468546632</v>
      </c>
      <c r="P173" s="177">
        <f t="shared" si="238"/>
        <v>3.9532158351409978</v>
      </c>
      <c r="Q173" s="222">
        <f t="shared" si="177"/>
        <v>0.43924620390455527</v>
      </c>
      <c r="R173" s="222">
        <f t="shared" si="239"/>
        <v>0.43924620390455527</v>
      </c>
      <c r="S173" s="222">
        <f t="shared" si="240"/>
        <v>12</v>
      </c>
      <c r="T173" s="222">
        <f t="shared" si="241"/>
        <v>0.83187969924812022</v>
      </c>
      <c r="U173" s="222">
        <f t="shared" si="181"/>
        <v>3.2350877192982446</v>
      </c>
      <c r="V173" s="222">
        <f t="shared" si="182"/>
        <v>2.8521589688506976</v>
      </c>
      <c r="W173" s="202">
        <f t="shared" si="183"/>
        <v>350</v>
      </c>
      <c r="X173" s="453">
        <f t="shared" si="184"/>
        <v>164.27788312684396</v>
      </c>
      <c r="Z173" s="222">
        <f t="shared" si="185"/>
        <v>0.39045553145336231</v>
      </c>
      <c r="AA173" s="178">
        <f t="shared" si="186"/>
        <v>1.3387046792686708</v>
      </c>
      <c r="AB173" s="178">
        <f t="shared" si="242"/>
        <v>0.12196441763402208</v>
      </c>
      <c r="AC173" s="178"/>
      <c r="AD173" s="178">
        <f t="shared" si="188"/>
        <v>0.99428571428571422</v>
      </c>
      <c r="AE173" s="562">
        <f t="shared" si="243"/>
        <v>873.95957193816923</v>
      </c>
      <c r="AF173" s="545">
        <f t="shared" si="244"/>
        <v>0.10091999999999998</v>
      </c>
      <c r="AH173" s="178">
        <f t="shared" si="245"/>
        <v>0.5554920598635309</v>
      </c>
      <c r="AI173" s="178">
        <f t="shared" si="246"/>
        <v>0.83187969924812022</v>
      </c>
      <c r="AJ173" s="178">
        <f t="shared" si="247"/>
        <v>1.6013923698134225</v>
      </c>
      <c r="AL173" s="562">
        <f t="shared" si="248"/>
        <v>252</v>
      </c>
      <c r="AM173" s="471">
        <f t="shared" si="249"/>
        <v>164.27788312684396</v>
      </c>
      <c r="AO173">
        <f t="shared" si="196"/>
        <v>252</v>
      </c>
      <c r="AP173">
        <f t="shared" si="197"/>
        <v>164.27788312684396</v>
      </c>
      <c r="AR173" s="5">
        <f t="shared" si="233"/>
        <v>6.0872466881489427</v>
      </c>
      <c r="AS173" s="5">
        <f t="shared" si="230"/>
        <v>3.2350877192982446</v>
      </c>
      <c r="AT173" s="5">
        <f t="shared" si="231"/>
        <v>2.8521589688506981</v>
      </c>
      <c r="AU173" s="178">
        <f t="shared" si="232"/>
        <v>0.53145336225596518</v>
      </c>
      <c r="AW173" s="5">
        <f t="shared" si="254"/>
        <v>6.7936842105263135</v>
      </c>
      <c r="AX173" s="5">
        <f t="shared" si="255"/>
        <v>3.3968421052631568</v>
      </c>
      <c r="AY173" s="5">
        <f t="shared" si="256"/>
        <v>0.35026513652552432</v>
      </c>
      <c r="AZ173" s="5"/>
      <c r="BA173" s="178">
        <f t="shared" si="257"/>
        <v>0.35013254316606085</v>
      </c>
      <c r="BB173" s="178">
        <f t="shared" si="258"/>
        <v>0.65751597260126693</v>
      </c>
      <c r="BC173" s="178">
        <f t="shared" si="259"/>
        <v>0.32875798630063346</v>
      </c>
      <c r="BD173" s="178"/>
      <c r="BE173" s="545">
        <f t="shared" si="260"/>
        <v>4.290747922437671E-2</v>
      </c>
      <c r="BF173" s="545">
        <f t="shared" si="261"/>
        <v>4.7249999999999993E-2</v>
      </c>
      <c r="BG173" s="545">
        <f t="shared" si="262"/>
        <v>2.0534735390855493E-3</v>
      </c>
      <c r="BH173" s="545">
        <f t="shared" si="263"/>
        <v>1.7456250000000003E-2</v>
      </c>
      <c r="BI173">
        <f t="shared" si="264"/>
        <v>6.2640000000000005E-3</v>
      </c>
      <c r="BK173" s="471">
        <f t="shared" si="265"/>
        <v>115.93120276346227</v>
      </c>
      <c r="BL173" s="178">
        <f t="shared" si="266"/>
        <v>7.5600000000000001E-2</v>
      </c>
      <c r="BM173" s="178">
        <f t="shared" si="267"/>
        <v>3.78E-2</v>
      </c>
      <c r="BN173" s="545"/>
      <c r="BP173" s="471">
        <f t="shared" si="268"/>
        <v>113.4</v>
      </c>
      <c r="BQ173" s="545">
        <f t="shared" si="269"/>
        <v>1.164631578947368E-2</v>
      </c>
      <c r="BR173" s="545">
        <f t="shared" si="270"/>
        <v>3.8909452880321098E-2</v>
      </c>
      <c r="BS173" s="545">
        <f t="shared" si="271"/>
        <v>1.080818135564475E-2</v>
      </c>
      <c r="BT173" s="545">
        <f t="shared" si="272"/>
        <v>1.091613918600395E-2</v>
      </c>
      <c r="BU173" s="545"/>
      <c r="BV173" s="655">
        <f t="shared" si="250"/>
        <v>2.5578947368421055E-2</v>
      </c>
      <c r="BW173" s="471">
        <f t="shared" si="273"/>
        <v>97.859036579864522</v>
      </c>
      <c r="BX173" s="178">
        <f t="shared" si="274"/>
        <v>0.32719023934332675</v>
      </c>
      <c r="BY173" s="5">
        <f t="shared" si="275"/>
        <v>4.5359999999999996</v>
      </c>
      <c r="BZ173" s="178">
        <f t="shared" si="276"/>
        <v>0.93272106924866938</v>
      </c>
      <c r="CA173" s="5">
        <f t="shared" si="277"/>
        <v>93.272106924866932</v>
      </c>
      <c r="CB173">
        <f t="shared" si="278"/>
        <v>63</v>
      </c>
      <c r="CD173" s="580">
        <f t="shared" si="251"/>
        <v>-50</v>
      </c>
      <c r="CE173">
        <f t="shared" si="252"/>
        <v>-50</v>
      </c>
    </row>
    <row r="174" spans="5:83" x14ac:dyDescent="0.2">
      <c r="E174" s="175">
        <v>64</v>
      </c>
      <c r="F174" s="222">
        <f t="shared" si="253"/>
        <v>0.25600000000000001</v>
      </c>
      <c r="G174" s="222">
        <f t="shared" ref="G174:G210" si="279">IF(PLOT_TYPE=1, E174/100*Iout2, min_I*EXP(Q174*rr/100))</f>
        <v>0.128</v>
      </c>
      <c r="H174" s="222">
        <f t="shared" ref="H174:H210" si="280">F174*Vout</f>
        <v>3.0720000000000001</v>
      </c>
      <c r="I174" s="222">
        <f t="shared" ref="I174:I210" si="281">Vout2*G174</f>
        <v>1.536</v>
      </c>
      <c r="J174" s="558">
        <f t="shared" ref="J174:J210" si="282">VIN_min</f>
        <v>21.6</v>
      </c>
      <c r="K174" s="453">
        <f t="shared" ref="K174:K210" si="283">(S174+Vfwd1)*Nps</f>
        <v>24.5</v>
      </c>
      <c r="L174" s="453">
        <f t="shared" ref="L174:L210" si="284">(Vout+Vfwd1)*Nps+J174</f>
        <v>46.1</v>
      </c>
      <c r="M174" s="453"/>
      <c r="N174" s="222">
        <f t="shared" ref="N174:N210" si="285">(Vout+Vfwd1)*Nps/((Vout+Vfwd1)*Nps+J174)</f>
        <v>0.53145336225596529</v>
      </c>
      <c r="O174" s="177">
        <f t="shared" ref="O174:O205" si="286">N174*J174*Isw_max*0.5*Efficiency*Pout/(Pout+Pout2)</f>
        <v>5.2709544468546632</v>
      </c>
      <c r="P174" s="177">
        <f t="shared" ref="P174:P210" si="287">N174*J174*Isw_max*0.5*Efficiency*(Pout2/Pout_total)</f>
        <v>3.9532158351409978</v>
      </c>
      <c r="Q174" s="222">
        <f t="shared" ref="Q174:Q210" si="288">O174/Vout</f>
        <v>0.43924620390455527</v>
      </c>
      <c r="R174" s="222">
        <f t="shared" ref="R174:R210" si="289">O174/Vout2</f>
        <v>0.43924620390455527</v>
      </c>
      <c r="S174" s="222">
        <f t="shared" ref="S174:S210" si="290">MIN(Vout,O174/F174)</f>
        <v>12</v>
      </c>
      <c r="T174" s="222">
        <f t="shared" ref="T174:T210" si="291">MIN(2*(Vout*F174+Vout2*G174)/(Efficiency*J174*N174), Isw_max)</f>
        <v>0.84508413891872547</v>
      </c>
      <c r="U174" s="222">
        <f t="shared" ref="U174:U210" si="292">L*T174/J174*1000000</f>
        <v>3.2864383180172654</v>
      </c>
      <c r="V174" s="222">
        <f t="shared" ref="V174:V210" si="293">L*T174/K174*1000000</f>
        <v>2.8974313334356299</v>
      </c>
      <c r="W174" s="202">
        <f t="shared" ref="W174:W210" si="294">IF(1/((350000*L)*(1/J174+1/K174))&gt;Isw_min, 350, 0.001/((Isw_min*L)*(1/J174+1/K174)))</f>
        <v>350</v>
      </c>
      <c r="X174" s="453">
        <f t="shared" ref="X174:X210" si="295">MIN(1/(U174+V174)*1000, 350)</f>
        <v>161.71104120298702</v>
      </c>
      <c r="Z174" s="222">
        <f t="shared" ref="Z174:Z210" si="296">1/((W174*1000*L)*(1/J174+1/K174))</f>
        <v>0.39045553145336231</v>
      </c>
      <c r="AA174" s="178">
        <f t="shared" ref="AA174:AA210" si="297">L*Z174/K174*1000000</f>
        <v>1.3387046792686708</v>
      </c>
      <c r="AB174" s="178">
        <f t="shared" ref="AB174:AB205" si="298">0.5*AA174*Z174*Nps*W174/1000*(Pout/(Pout+Pout2))</f>
        <v>0.12196441763402208</v>
      </c>
      <c r="AC174" s="178"/>
      <c r="AD174" s="178">
        <f t="shared" ref="AD174:AD210" si="299">L*Isw_min/K174*1000000</f>
        <v>0.99428571428571422</v>
      </c>
      <c r="AE174" s="562">
        <f t="shared" ref="AE174:AE205" si="300">MAX(10, F174/(0.5*AD174/1000000*Isw_min*Nps)/1000*Pout_total/Pout)</f>
        <v>887.83194609591783</v>
      </c>
      <c r="AF174" s="545">
        <f t="shared" ref="AF174:AF210" si="301">0.5*AD174/1000000*Isw_min*Nps*W174*1000*(Pout/Pout_total)</f>
        <v>0.10091999999999998</v>
      </c>
      <c r="AH174" s="178">
        <f t="shared" ref="AH174:AH210" si="302">SQRT((H174+I174)/(0.5*L*Fsw_DCM))</f>
        <v>0.55988336977901221</v>
      </c>
      <c r="AI174" s="178">
        <f t="shared" ref="AI174:AI205" si="303">MAX(IF(F174&gt;AB174,T174,AH174),Isw_min)</f>
        <v>0.84508413891872547</v>
      </c>
      <c r="AJ174" s="178">
        <f t="shared" ref="AJ174:AJ205" si="304">IF(F174&gt;AF174, (AI174-Isw_min)/1.08*0.8+1.2, AE174*0.2/350+1)</f>
        <v>1.611173436236093</v>
      </c>
      <c r="AL174" s="562">
        <f t="shared" ref="AL174:AL210" si="305">F174*1000</f>
        <v>256</v>
      </c>
      <c r="AM174" s="471">
        <f t="shared" ref="AM174:AM210" si="306">IF(F174&gt;AF174, X174, AE174)</f>
        <v>161.71104120298702</v>
      </c>
      <c r="AO174">
        <f t="shared" ref="AO174:AO210" si="307">IF(H174&gt;O174, "",AL174)</f>
        <v>256</v>
      </c>
      <c r="AP174">
        <f t="shared" ref="AP174:AP210" si="308">IF(H174&gt;O174, "",AM174)</f>
        <v>161.71104120298702</v>
      </c>
      <c r="AR174" s="5">
        <f t="shared" si="233"/>
        <v>6.1838696514528948</v>
      </c>
      <c r="AS174" s="5">
        <f t="shared" si="230"/>
        <v>3.2864383180172654</v>
      </c>
      <c r="AT174" s="5">
        <f t="shared" si="231"/>
        <v>2.8974313334356294</v>
      </c>
      <c r="AU174" s="178">
        <f t="shared" si="232"/>
        <v>0.53145336225596529</v>
      </c>
      <c r="AW174" s="5">
        <f t="shared" si="254"/>
        <v>7.0110684117701663</v>
      </c>
      <c r="AX174" s="5">
        <f t="shared" si="255"/>
        <v>3.5055342058850831</v>
      </c>
      <c r="AY174" s="5">
        <f t="shared" si="256"/>
        <v>0.36147291489255412</v>
      </c>
      <c r="AZ174" s="5"/>
      <c r="BA174" s="178">
        <f t="shared" si="257"/>
        <v>0.35569020258139528</v>
      </c>
      <c r="BB174" s="178">
        <f t="shared" si="258"/>
        <v>0.66795273407112843</v>
      </c>
      <c r="BC174" s="178">
        <f t="shared" si="259"/>
        <v>0.33397636703556421</v>
      </c>
      <c r="BD174" s="178"/>
      <c r="BE174" s="545">
        <f t="shared" si="260"/>
        <v>4.4280432074337898E-2</v>
      </c>
      <c r="BF174" s="545">
        <f t="shared" si="261"/>
        <v>4.7250000000000007E-2</v>
      </c>
      <c r="BG174" s="545">
        <f t="shared" si="262"/>
        <v>2.0213880150373375E-3</v>
      </c>
      <c r="BH174" s="545">
        <f t="shared" si="263"/>
        <v>1.718349609375E-2</v>
      </c>
      <c r="BI174">
        <f t="shared" si="264"/>
        <v>6.2640000000000005E-3</v>
      </c>
      <c r="BK174" s="471">
        <f t="shared" si="265"/>
        <v>116.99931618312525</v>
      </c>
      <c r="BL174" s="178">
        <f t="shared" si="266"/>
        <v>7.6799999999999993E-2</v>
      </c>
      <c r="BM174" s="178">
        <f t="shared" si="267"/>
        <v>3.8399999999999997E-2</v>
      </c>
      <c r="BN174" s="545"/>
      <c r="BP174" s="471">
        <f t="shared" si="268"/>
        <v>115.2</v>
      </c>
      <c r="BQ174" s="545">
        <f t="shared" si="269"/>
        <v>1.2018974420177431E-2</v>
      </c>
      <c r="BR174" s="545">
        <f t="shared" si="270"/>
        <v>4.0154476945778603E-2</v>
      </c>
      <c r="BS174" s="545">
        <f t="shared" si="271"/>
        <v>1.1154021373827391E-2</v>
      </c>
      <c r="BT174" s="545">
        <f t="shared" si="272"/>
        <v>1.0916139186003964E-2</v>
      </c>
      <c r="BU174" s="545"/>
      <c r="BV174" s="655">
        <f t="shared" ref="BV174:BV210" si="309">0.5*Lleak*0.000000001*AI174^2*AM174*1000</f>
        <v>2.5984962406015048E-2</v>
      </c>
      <c r="BW174" s="471">
        <f t="shared" si="273"/>
        <v>100.22857433180243</v>
      </c>
      <c r="BX174" s="178">
        <f t="shared" si="274"/>
        <v>0.33242789051492766</v>
      </c>
      <c r="BY174" s="5">
        <f t="shared" si="275"/>
        <v>4.6080000000000005</v>
      </c>
      <c r="BZ174" s="178">
        <f t="shared" si="276"/>
        <v>0.93271273300979618</v>
      </c>
      <c r="CA174" s="5">
        <f t="shared" si="277"/>
        <v>93.271273300979615</v>
      </c>
      <c r="CB174">
        <f t="shared" si="278"/>
        <v>64</v>
      </c>
      <c r="CD174" s="580">
        <f t="shared" ref="CD174:CD210" si="310">IF(ABS(F174-Ioutmax_Vinmin)&lt;Iout/200, AM174, -50)</f>
        <v>-50</v>
      </c>
      <c r="CE174">
        <f t="shared" ref="CE174:CE210" si="311">IF(ABS(F174-Ioutmax_Vinmin)&lt;Iout/200, (O174+P174)*BZ174, -50)</f>
        <v>-50</v>
      </c>
    </row>
    <row r="175" spans="5:83" x14ac:dyDescent="0.2">
      <c r="E175" s="175">
        <v>65</v>
      </c>
      <c r="F175" s="222">
        <f t="shared" ref="F175:F206" si="312">IF(PLOT_TYPE=1, E175/100*Iout_max, min_I*EXP(O175*rr/100))</f>
        <v>0.26</v>
      </c>
      <c r="G175" s="222">
        <f t="shared" si="279"/>
        <v>0.13</v>
      </c>
      <c r="H175" s="222">
        <f t="shared" si="280"/>
        <v>3.12</v>
      </c>
      <c r="I175" s="222">
        <f t="shared" si="281"/>
        <v>1.56</v>
      </c>
      <c r="J175" s="558">
        <f t="shared" si="282"/>
        <v>21.6</v>
      </c>
      <c r="K175" s="453">
        <f t="shared" si="283"/>
        <v>24.5</v>
      </c>
      <c r="L175" s="453">
        <f t="shared" si="284"/>
        <v>46.1</v>
      </c>
      <c r="M175" s="453"/>
      <c r="N175" s="222">
        <f t="shared" si="285"/>
        <v>0.53145336225596529</v>
      </c>
      <c r="O175" s="177">
        <f t="shared" si="286"/>
        <v>5.2709544468546632</v>
      </c>
      <c r="P175" s="177">
        <f t="shared" si="287"/>
        <v>3.9532158351409978</v>
      </c>
      <c r="Q175" s="222">
        <f t="shared" si="288"/>
        <v>0.43924620390455527</v>
      </c>
      <c r="R175" s="222">
        <f t="shared" si="289"/>
        <v>0.43924620390455527</v>
      </c>
      <c r="S175" s="222">
        <f t="shared" si="290"/>
        <v>12</v>
      </c>
      <c r="T175" s="222">
        <f t="shared" si="291"/>
        <v>0.85828857858933039</v>
      </c>
      <c r="U175" s="222">
        <f t="shared" si="292"/>
        <v>3.3377889167362844</v>
      </c>
      <c r="V175" s="222">
        <f t="shared" si="293"/>
        <v>2.9427036980205612</v>
      </c>
      <c r="W175" s="202">
        <f t="shared" si="294"/>
        <v>350</v>
      </c>
      <c r="X175" s="453">
        <f t="shared" si="295"/>
        <v>159.22317903063342</v>
      </c>
      <c r="Z175" s="222">
        <f t="shared" si="296"/>
        <v>0.39045553145336231</v>
      </c>
      <c r="AA175" s="178">
        <f t="shared" si="297"/>
        <v>1.3387046792686708</v>
      </c>
      <c r="AB175" s="178">
        <f t="shared" si="298"/>
        <v>0.12196441763402208</v>
      </c>
      <c r="AC175" s="178"/>
      <c r="AD175" s="178">
        <f t="shared" si="299"/>
        <v>0.99428571428571422</v>
      </c>
      <c r="AE175" s="562">
        <f t="shared" si="300"/>
        <v>901.70432025366654</v>
      </c>
      <c r="AF175" s="545">
        <f t="shared" si="301"/>
        <v>0.10091999999999998</v>
      </c>
      <c r="AH175" s="178">
        <f t="shared" si="302"/>
        <v>0.56424050451804286</v>
      </c>
      <c r="AI175" s="178">
        <f t="shared" si="303"/>
        <v>0.85828857858933039</v>
      </c>
      <c r="AJ175" s="178">
        <f t="shared" si="304"/>
        <v>1.6209545026587633</v>
      </c>
      <c r="AL175" s="562">
        <f t="shared" si="305"/>
        <v>260</v>
      </c>
      <c r="AM175" s="471">
        <f t="shared" si="306"/>
        <v>159.22317903063342</v>
      </c>
      <c r="AO175">
        <f t="shared" si="307"/>
        <v>260</v>
      </c>
      <c r="AP175">
        <f t="shared" si="308"/>
        <v>159.22317903063342</v>
      </c>
      <c r="AR175" s="5">
        <f t="shared" si="233"/>
        <v>6.2804926147568443</v>
      </c>
      <c r="AS175" s="5">
        <f t="shared" si="230"/>
        <v>3.3377889167362844</v>
      </c>
      <c r="AT175" s="5">
        <f t="shared" si="231"/>
        <v>2.9427036980205599</v>
      </c>
      <c r="AU175" s="178">
        <f t="shared" si="232"/>
        <v>0.5314533622559654</v>
      </c>
      <c r="AW175" s="5">
        <f t="shared" si="254"/>
        <v>7.2318759862619491</v>
      </c>
      <c r="AX175" s="5">
        <f t="shared" si="255"/>
        <v>3.6159379931309745</v>
      </c>
      <c r="AY175" s="5">
        <f t="shared" si="256"/>
        <v>0.37285719370630876</v>
      </c>
      <c r="AZ175" s="5"/>
      <c r="BA175" s="178">
        <f t="shared" si="257"/>
        <v>0.36124786199672954</v>
      </c>
      <c r="BB175" s="178">
        <f t="shared" si="258"/>
        <v>0.6783894955409896</v>
      </c>
      <c r="BC175" s="178">
        <f t="shared" si="259"/>
        <v>0.3391947477704948</v>
      </c>
      <c r="BD175" s="178"/>
      <c r="BE175" s="545">
        <f t="shared" si="260"/>
        <v>4.5675006229022853E-2</v>
      </c>
      <c r="BF175" s="545">
        <f t="shared" si="261"/>
        <v>4.7250000000000014E-2</v>
      </c>
      <c r="BG175" s="545">
        <f t="shared" si="262"/>
        <v>1.9902897378829176E-3</v>
      </c>
      <c r="BH175" s="545">
        <f t="shared" si="263"/>
        <v>1.6919134615384624E-2</v>
      </c>
      <c r="BI175">
        <f t="shared" si="264"/>
        <v>6.2640000000000005E-3</v>
      </c>
      <c r="BK175" s="471">
        <f t="shared" si="265"/>
        <v>118.0984305822904</v>
      </c>
      <c r="BL175" s="178">
        <f t="shared" si="266"/>
        <v>7.8E-2</v>
      </c>
      <c r="BM175" s="178">
        <f t="shared" si="267"/>
        <v>3.9E-2</v>
      </c>
      <c r="BN175" s="545"/>
      <c r="BP175" s="471">
        <f t="shared" si="268"/>
        <v>117</v>
      </c>
      <c r="BQ175" s="545">
        <f t="shared" si="269"/>
        <v>1.2397501690734775E-2</v>
      </c>
      <c r="BR175" s="545">
        <f t="shared" si="270"/>
        <v>4.1419107689432251E-2</v>
      </c>
      <c r="BS175" s="545">
        <f t="shared" si="271"/>
        <v>1.1505307691508961E-2</v>
      </c>
      <c r="BT175" s="545">
        <f t="shared" si="272"/>
        <v>1.0916139186003945E-2</v>
      </c>
      <c r="BU175" s="545"/>
      <c r="BV175" s="655">
        <f t="shared" si="309"/>
        <v>2.6390977443609031E-2</v>
      </c>
      <c r="BW175" s="471">
        <f t="shared" si="273"/>
        <v>102.62903370128895</v>
      </c>
      <c r="BX175" s="178">
        <f t="shared" si="274"/>
        <v>0.33772746428357936</v>
      </c>
      <c r="BY175" s="5">
        <f t="shared" si="275"/>
        <v>4.68</v>
      </c>
      <c r="BZ175" s="178">
        <f t="shared" si="276"/>
        <v>0.93269314312354756</v>
      </c>
      <c r="CA175" s="5">
        <f t="shared" si="277"/>
        <v>93.269314312354751</v>
      </c>
      <c r="CB175">
        <f t="shared" si="278"/>
        <v>65</v>
      </c>
      <c r="CD175" s="580">
        <f t="shared" si="310"/>
        <v>-50</v>
      </c>
      <c r="CE175">
        <f t="shared" si="311"/>
        <v>-50</v>
      </c>
    </row>
    <row r="176" spans="5:83" x14ac:dyDescent="0.2">
      <c r="E176" s="175">
        <v>66</v>
      </c>
      <c r="F176" s="222">
        <f t="shared" si="312"/>
        <v>0.26400000000000001</v>
      </c>
      <c r="G176" s="222">
        <f t="shared" si="279"/>
        <v>0.13200000000000001</v>
      </c>
      <c r="H176" s="222">
        <f t="shared" si="280"/>
        <v>3.1680000000000001</v>
      </c>
      <c r="I176" s="222">
        <f t="shared" si="281"/>
        <v>1.5840000000000001</v>
      </c>
      <c r="J176" s="558">
        <f t="shared" si="282"/>
        <v>21.6</v>
      </c>
      <c r="K176" s="453">
        <f t="shared" si="283"/>
        <v>24.5</v>
      </c>
      <c r="L176" s="453">
        <f t="shared" si="284"/>
        <v>46.1</v>
      </c>
      <c r="M176" s="453"/>
      <c r="N176" s="222">
        <f t="shared" si="285"/>
        <v>0.53145336225596529</v>
      </c>
      <c r="O176" s="177">
        <f t="shared" si="286"/>
        <v>5.2709544468546632</v>
      </c>
      <c r="P176" s="177">
        <f t="shared" si="287"/>
        <v>3.9532158351409978</v>
      </c>
      <c r="Q176" s="222">
        <f t="shared" si="288"/>
        <v>0.43924620390455527</v>
      </c>
      <c r="R176" s="222">
        <f t="shared" si="289"/>
        <v>0.43924620390455527</v>
      </c>
      <c r="S176" s="222">
        <f t="shared" si="290"/>
        <v>12</v>
      </c>
      <c r="T176" s="222">
        <f t="shared" si="291"/>
        <v>0.87149301825993564</v>
      </c>
      <c r="U176" s="222">
        <f t="shared" si="292"/>
        <v>3.3891395154553048</v>
      </c>
      <c r="V176" s="222">
        <f t="shared" si="293"/>
        <v>2.9879760626054939</v>
      </c>
      <c r="W176" s="202">
        <f t="shared" si="294"/>
        <v>350</v>
      </c>
      <c r="X176" s="453">
        <f t="shared" si="295"/>
        <v>156.81070662107828</v>
      </c>
      <c r="Z176" s="222">
        <f t="shared" si="296"/>
        <v>0.39045553145336231</v>
      </c>
      <c r="AA176" s="178">
        <f t="shared" si="297"/>
        <v>1.3387046792686708</v>
      </c>
      <c r="AB176" s="178">
        <f t="shared" si="298"/>
        <v>0.12196441763402208</v>
      </c>
      <c r="AC176" s="178"/>
      <c r="AD176" s="178">
        <f t="shared" si="299"/>
        <v>0.99428571428571422</v>
      </c>
      <c r="AE176" s="562">
        <f t="shared" si="300"/>
        <v>915.57669441141513</v>
      </c>
      <c r="AF176" s="545">
        <f t="shared" si="301"/>
        <v>0.10091999999999998</v>
      </c>
      <c r="AH176" s="178">
        <f t="shared" si="302"/>
        <v>0.56856424977521147</v>
      </c>
      <c r="AI176" s="178">
        <f t="shared" si="303"/>
        <v>0.87149301825993564</v>
      </c>
      <c r="AJ176" s="178">
        <f t="shared" si="304"/>
        <v>1.6307355690814338</v>
      </c>
      <c r="AL176" s="562">
        <f t="shared" si="305"/>
        <v>264</v>
      </c>
      <c r="AM176" s="471">
        <f t="shared" si="306"/>
        <v>156.81070662107828</v>
      </c>
      <c r="AO176">
        <f t="shared" si="307"/>
        <v>264</v>
      </c>
      <c r="AP176">
        <f t="shared" si="308"/>
        <v>156.81070662107828</v>
      </c>
      <c r="AR176" s="5">
        <f t="shared" si="233"/>
        <v>6.3771155780607991</v>
      </c>
      <c r="AS176" s="5">
        <f t="shared" si="230"/>
        <v>3.3891395154553048</v>
      </c>
      <c r="AT176" s="5">
        <f t="shared" si="231"/>
        <v>2.9879760626054943</v>
      </c>
      <c r="AU176" s="178">
        <f t="shared" si="232"/>
        <v>0.53145336225596518</v>
      </c>
      <c r="AW176" s="5">
        <f t="shared" si="254"/>
        <v>7.4561069340016708</v>
      </c>
      <c r="AX176" s="5">
        <f t="shared" si="255"/>
        <v>3.7280534670008354</v>
      </c>
      <c r="AY176" s="5">
        <f t="shared" si="256"/>
        <v>0.3844179729667887</v>
      </c>
      <c r="AZ176" s="5"/>
      <c r="BA176" s="178">
        <f t="shared" si="257"/>
        <v>0.36680552141206385</v>
      </c>
      <c r="BB176" s="178">
        <f t="shared" si="258"/>
        <v>0.68882625701085121</v>
      </c>
      <c r="BC176" s="178">
        <f t="shared" si="259"/>
        <v>0.3444131285054256</v>
      </c>
      <c r="BD176" s="178"/>
      <c r="BE176" s="545">
        <f t="shared" si="260"/>
        <v>4.7091201688431603E-2</v>
      </c>
      <c r="BF176" s="545">
        <f t="shared" si="261"/>
        <v>4.7249999999999993E-2</v>
      </c>
      <c r="BG176" s="545">
        <f t="shared" si="262"/>
        <v>1.9601338327634782E-3</v>
      </c>
      <c r="BH176" s="545">
        <f t="shared" si="263"/>
        <v>1.6662784090909089E-2</v>
      </c>
      <c r="BI176">
        <f t="shared" si="264"/>
        <v>6.2640000000000005E-3</v>
      </c>
      <c r="BK176" s="471">
        <f t="shared" si="265"/>
        <v>119.22811961210417</v>
      </c>
      <c r="BL176" s="178">
        <f t="shared" si="266"/>
        <v>7.9200000000000007E-2</v>
      </c>
      <c r="BM176" s="178">
        <f t="shared" si="267"/>
        <v>3.9600000000000003E-2</v>
      </c>
      <c r="BN176" s="545"/>
      <c r="BP176" s="471">
        <f t="shared" si="268"/>
        <v>118.80000000000001</v>
      </c>
      <c r="BQ176" s="545">
        <f t="shared" si="269"/>
        <v>1.2781897601145722E-2</v>
      </c>
      <c r="BR176" s="545">
        <f t="shared" si="270"/>
        <v>4.2703345111282133E-2</v>
      </c>
      <c r="BS176" s="545">
        <f t="shared" si="271"/>
        <v>1.1862040308689481E-2</v>
      </c>
      <c r="BT176" s="545">
        <f t="shared" si="272"/>
        <v>1.091613918600394E-2</v>
      </c>
      <c r="BU176" s="545"/>
      <c r="BV176" s="655">
        <f t="shared" si="309"/>
        <v>2.679699248120301E-2</v>
      </c>
      <c r="BW176" s="471">
        <f t="shared" si="273"/>
        <v>105.06041468832429</v>
      </c>
      <c r="BX176" s="178">
        <f t="shared" si="274"/>
        <v>0.3430885343004284</v>
      </c>
      <c r="BY176" s="5">
        <f t="shared" si="275"/>
        <v>4.7520000000000007</v>
      </c>
      <c r="BZ176" s="178">
        <f t="shared" si="276"/>
        <v>0.93266289054827278</v>
      </c>
      <c r="CA176" s="5">
        <f t="shared" si="277"/>
        <v>93.266289054827283</v>
      </c>
      <c r="CB176">
        <f t="shared" si="278"/>
        <v>66</v>
      </c>
      <c r="CD176" s="580">
        <f t="shared" si="310"/>
        <v>-50</v>
      </c>
      <c r="CE176">
        <f t="shared" si="311"/>
        <v>-50</v>
      </c>
    </row>
    <row r="177" spans="5:83" x14ac:dyDescent="0.2">
      <c r="E177" s="175">
        <v>67</v>
      </c>
      <c r="F177" s="222">
        <f t="shared" si="312"/>
        <v>0.26800000000000002</v>
      </c>
      <c r="G177" s="222">
        <f t="shared" si="279"/>
        <v>0.13400000000000001</v>
      </c>
      <c r="H177" s="222">
        <f t="shared" si="280"/>
        <v>3.2160000000000002</v>
      </c>
      <c r="I177" s="222">
        <f t="shared" si="281"/>
        <v>1.6080000000000001</v>
      </c>
      <c r="J177" s="558">
        <f t="shared" si="282"/>
        <v>21.6</v>
      </c>
      <c r="K177" s="453">
        <f t="shared" si="283"/>
        <v>24.5</v>
      </c>
      <c r="L177" s="453">
        <f t="shared" si="284"/>
        <v>46.1</v>
      </c>
      <c r="M177" s="453"/>
      <c r="N177" s="222">
        <f t="shared" si="285"/>
        <v>0.53145336225596529</v>
      </c>
      <c r="O177" s="177">
        <f t="shared" si="286"/>
        <v>5.2709544468546632</v>
      </c>
      <c r="P177" s="177">
        <f t="shared" si="287"/>
        <v>3.9532158351409978</v>
      </c>
      <c r="Q177" s="222">
        <f t="shared" si="288"/>
        <v>0.43924620390455527</v>
      </c>
      <c r="R177" s="222">
        <f t="shared" si="289"/>
        <v>0.43924620390455527</v>
      </c>
      <c r="S177" s="222">
        <f t="shared" si="290"/>
        <v>12</v>
      </c>
      <c r="T177" s="222">
        <f t="shared" si="291"/>
        <v>0.88469745793054055</v>
      </c>
      <c r="U177" s="222">
        <f t="shared" si="292"/>
        <v>3.4404901141743243</v>
      </c>
      <c r="V177" s="222">
        <f t="shared" si="293"/>
        <v>3.0332484271904248</v>
      </c>
      <c r="W177" s="202">
        <f t="shared" si="294"/>
        <v>350</v>
      </c>
      <c r="X177" s="453">
        <f t="shared" si="295"/>
        <v>154.47024831330103</v>
      </c>
      <c r="Z177" s="222">
        <f t="shared" si="296"/>
        <v>0.39045553145336231</v>
      </c>
      <c r="AA177" s="178">
        <f t="shared" si="297"/>
        <v>1.3387046792686708</v>
      </c>
      <c r="AB177" s="178">
        <f t="shared" si="298"/>
        <v>0.12196441763402208</v>
      </c>
      <c r="AC177" s="178"/>
      <c r="AD177" s="178">
        <f t="shared" si="299"/>
        <v>0.99428571428571422</v>
      </c>
      <c r="AE177" s="562">
        <f t="shared" si="300"/>
        <v>929.44906856916407</v>
      </c>
      <c r="AF177" s="545">
        <f t="shared" si="301"/>
        <v>0.10091999999999998</v>
      </c>
      <c r="AH177" s="178">
        <f t="shared" si="302"/>
        <v>0.57285536159324058</v>
      </c>
      <c r="AI177" s="178">
        <f t="shared" si="303"/>
        <v>0.88469745793054055</v>
      </c>
      <c r="AJ177" s="178">
        <f t="shared" si="304"/>
        <v>1.6405166355041041</v>
      </c>
      <c r="AL177" s="562">
        <f t="shared" si="305"/>
        <v>268</v>
      </c>
      <c r="AM177" s="471">
        <f t="shared" si="306"/>
        <v>154.47024831330103</v>
      </c>
      <c r="AO177">
        <f t="shared" si="307"/>
        <v>268</v>
      </c>
      <c r="AP177">
        <f t="shared" si="308"/>
        <v>154.47024831330103</v>
      </c>
      <c r="AR177" s="5">
        <f t="shared" si="233"/>
        <v>6.4737385413647486</v>
      </c>
      <c r="AS177" s="5">
        <f t="shared" si="230"/>
        <v>3.4404901141743243</v>
      </c>
      <c r="AT177" s="5">
        <f t="shared" si="231"/>
        <v>3.0332484271904243</v>
      </c>
      <c r="AU177" s="178">
        <f t="shared" si="232"/>
        <v>0.53145336225596529</v>
      </c>
      <c r="AW177" s="5">
        <f t="shared" si="254"/>
        <v>7.6837612549893244</v>
      </c>
      <c r="AX177" s="5">
        <f t="shared" si="255"/>
        <v>3.8418806274946622</v>
      </c>
      <c r="AY177" s="5">
        <f t="shared" si="256"/>
        <v>0.39615525267399304</v>
      </c>
      <c r="AZ177" s="5"/>
      <c r="BA177" s="178">
        <f t="shared" si="257"/>
        <v>0.37236318082739811</v>
      </c>
      <c r="BB177" s="178">
        <f t="shared" si="258"/>
        <v>0.69926301848071237</v>
      </c>
      <c r="BC177" s="178">
        <f t="shared" si="259"/>
        <v>0.34963150924035619</v>
      </c>
      <c r="BD177" s="178"/>
      <c r="BE177" s="545">
        <f t="shared" si="260"/>
        <v>4.8529018452564153E-2</v>
      </c>
      <c r="BF177" s="545">
        <f t="shared" si="261"/>
        <v>4.7249999999999993E-2</v>
      </c>
      <c r="BG177" s="545">
        <f t="shared" si="262"/>
        <v>1.930878103916263E-3</v>
      </c>
      <c r="BH177" s="545">
        <f t="shared" si="263"/>
        <v>1.6414085820895524E-2</v>
      </c>
      <c r="BI177">
        <f t="shared" si="264"/>
        <v>6.2640000000000005E-3</v>
      </c>
      <c r="BK177" s="471">
        <f t="shared" si="265"/>
        <v>120.38798237737593</v>
      </c>
      <c r="BL177" s="178">
        <f t="shared" si="266"/>
        <v>8.0399999999999999E-2</v>
      </c>
      <c r="BM177" s="178">
        <f t="shared" si="267"/>
        <v>4.02E-2</v>
      </c>
      <c r="BN177" s="545"/>
      <c r="BP177" s="471">
        <f t="shared" si="268"/>
        <v>120.6</v>
      </c>
      <c r="BQ177" s="545">
        <f t="shared" si="269"/>
        <v>1.3172162151410271E-2</v>
      </c>
      <c r="BR177" s="545">
        <f t="shared" si="270"/>
        <v>4.4007189211328138E-2</v>
      </c>
      <c r="BS177" s="545">
        <f t="shared" si="271"/>
        <v>1.2224219225368928E-2</v>
      </c>
      <c r="BT177" s="545">
        <f t="shared" si="272"/>
        <v>1.0916139186003948E-2</v>
      </c>
      <c r="BU177" s="545"/>
      <c r="BV177" s="655">
        <f t="shared" si="309"/>
        <v>2.7203007518796993E-2</v>
      </c>
      <c r="BW177" s="471">
        <f t="shared" si="273"/>
        <v>107.52271729290828</v>
      </c>
      <c r="BX177" s="178">
        <f t="shared" si="274"/>
        <v>0.3485106996702842</v>
      </c>
      <c r="BY177" s="5">
        <f t="shared" si="275"/>
        <v>4.8239999999999998</v>
      </c>
      <c r="BZ177" s="178">
        <f t="shared" si="276"/>
        <v>0.93262252706553128</v>
      </c>
      <c r="CA177" s="5">
        <f t="shared" si="277"/>
        <v>93.262252706553127</v>
      </c>
      <c r="CB177">
        <f t="shared" si="278"/>
        <v>67</v>
      </c>
      <c r="CD177" s="580">
        <f t="shared" si="310"/>
        <v>-50</v>
      </c>
      <c r="CE177">
        <f t="shared" si="311"/>
        <v>-50</v>
      </c>
    </row>
    <row r="178" spans="5:83" x14ac:dyDescent="0.2">
      <c r="E178" s="175">
        <v>68</v>
      </c>
      <c r="F178" s="222">
        <f t="shared" si="312"/>
        <v>0.27200000000000002</v>
      </c>
      <c r="G178" s="222">
        <f t="shared" si="279"/>
        <v>0.13600000000000001</v>
      </c>
      <c r="H178" s="222">
        <f t="shared" si="280"/>
        <v>3.2640000000000002</v>
      </c>
      <c r="I178" s="222">
        <f t="shared" si="281"/>
        <v>1.6320000000000001</v>
      </c>
      <c r="J178" s="558">
        <f t="shared" si="282"/>
        <v>21.6</v>
      </c>
      <c r="K178" s="453">
        <f t="shared" si="283"/>
        <v>24.5</v>
      </c>
      <c r="L178" s="453">
        <f t="shared" si="284"/>
        <v>46.1</v>
      </c>
      <c r="M178" s="453"/>
      <c r="N178" s="222">
        <f t="shared" si="285"/>
        <v>0.53145336225596529</v>
      </c>
      <c r="O178" s="177">
        <f t="shared" si="286"/>
        <v>5.2709544468546632</v>
      </c>
      <c r="P178" s="177">
        <f t="shared" si="287"/>
        <v>3.9532158351409978</v>
      </c>
      <c r="Q178" s="222">
        <f t="shared" si="288"/>
        <v>0.43924620390455527</v>
      </c>
      <c r="R178" s="222">
        <f t="shared" si="289"/>
        <v>0.43924620390455527</v>
      </c>
      <c r="S178" s="222">
        <f t="shared" si="290"/>
        <v>12</v>
      </c>
      <c r="T178" s="222">
        <f t="shared" si="291"/>
        <v>0.8979018976011458</v>
      </c>
      <c r="U178" s="222">
        <f t="shared" si="292"/>
        <v>3.4918407128933446</v>
      </c>
      <c r="V178" s="222">
        <f t="shared" si="293"/>
        <v>3.078520791775357</v>
      </c>
      <c r="W178" s="202">
        <f t="shared" si="294"/>
        <v>350</v>
      </c>
      <c r="X178" s="453">
        <f t="shared" si="295"/>
        <v>152.19862701457598</v>
      </c>
      <c r="Z178" s="222">
        <f t="shared" si="296"/>
        <v>0.39045553145336231</v>
      </c>
      <c r="AA178" s="178">
        <f t="shared" si="297"/>
        <v>1.3387046792686708</v>
      </c>
      <c r="AB178" s="178">
        <f t="shared" si="298"/>
        <v>0.12196441763402208</v>
      </c>
      <c r="AC178" s="178"/>
      <c r="AD178" s="178">
        <f t="shared" si="299"/>
        <v>0.99428571428571422</v>
      </c>
      <c r="AE178" s="562">
        <f t="shared" si="300"/>
        <v>943.32144272691266</v>
      </c>
      <c r="AF178" s="545">
        <f t="shared" si="301"/>
        <v>0.10091999999999998</v>
      </c>
      <c r="AH178" s="178">
        <f t="shared" si="302"/>
        <v>0.57711456790640447</v>
      </c>
      <c r="AI178" s="178">
        <f t="shared" si="303"/>
        <v>0.8979018976011458</v>
      </c>
      <c r="AJ178" s="178">
        <f t="shared" si="304"/>
        <v>1.6502977019267746</v>
      </c>
      <c r="AL178" s="562">
        <f t="shared" si="305"/>
        <v>272</v>
      </c>
      <c r="AM178" s="471">
        <f t="shared" si="306"/>
        <v>152.19862701457598</v>
      </c>
      <c r="AO178">
        <f t="shared" si="307"/>
        <v>272</v>
      </c>
      <c r="AP178">
        <f t="shared" si="308"/>
        <v>152.19862701457598</v>
      </c>
      <c r="AR178" s="5">
        <f t="shared" si="233"/>
        <v>6.5703615046687016</v>
      </c>
      <c r="AS178" s="5">
        <f t="shared" si="230"/>
        <v>3.4918407128933446</v>
      </c>
      <c r="AT178" s="5">
        <f t="shared" si="231"/>
        <v>3.078520791775357</v>
      </c>
      <c r="AU178" s="178">
        <f t="shared" si="232"/>
        <v>0.53145336225596529</v>
      </c>
      <c r="AW178" s="5">
        <f t="shared" si="254"/>
        <v>7.914838949224916</v>
      </c>
      <c r="AX178" s="5">
        <f t="shared" si="255"/>
        <v>3.957419474612458</v>
      </c>
      <c r="AY178" s="5">
        <f t="shared" si="256"/>
        <v>0.40806903282792245</v>
      </c>
      <c r="AZ178" s="5"/>
      <c r="BA178" s="178">
        <f t="shared" si="257"/>
        <v>0.37792084024273248</v>
      </c>
      <c r="BB178" s="178">
        <f t="shared" si="258"/>
        <v>0.70969977995057387</v>
      </c>
      <c r="BC178" s="178">
        <f t="shared" si="259"/>
        <v>0.35484988997528694</v>
      </c>
      <c r="BD178" s="178"/>
      <c r="BE178" s="545">
        <f t="shared" si="260"/>
        <v>4.9988456521420518E-2</v>
      </c>
      <c r="BF178" s="545">
        <f t="shared" si="261"/>
        <v>4.7249999999999993E-2</v>
      </c>
      <c r="BG178" s="545">
        <f t="shared" si="262"/>
        <v>1.9024828376821997E-3</v>
      </c>
      <c r="BH178" s="545">
        <f t="shared" si="263"/>
        <v>1.617270220588235E-2</v>
      </c>
      <c r="BI178">
        <f t="shared" si="264"/>
        <v>6.2640000000000005E-3</v>
      </c>
      <c r="BK178" s="471">
        <f t="shared" si="265"/>
        <v>121.57764156498507</v>
      </c>
      <c r="BL178" s="178">
        <f t="shared" si="266"/>
        <v>8.1600000000000006E-2</v>
      </c>
      <c r="BM178" s="178">
        <f t="shared" si="267"/>
        <v>4.0800000000000003E-2</v>
      </c>
      <c r="BN178" s="545"/>
      <c r="BP178" s="471">
        <f t="shared" si="268"/>
        <v>122.4</v>
      </c>
      <c r="BQ178" s="545">
        <f t="shared" si="269"/>
        <v>1.3568295341528428E-2</v>
      </c>
      <c r="BR178" s="545">
        <f t="shared" si="270"/>
        <v>4.5330639989570369E-2</v>
      </c>
      <c r="BS178" s="545">
        <f t="shared" si="271"/>
        <v>1.2591844441547326E-2</v>
      </c>
      <c r="BT178" s="545">
        <f t="shared" si="272"/>
        <v>1.0916139186003938E-2</v>
      </c>
      <c r="BU178" s="545"/>
      <c r="BV178" s="655">
        <f t="shared" si="309"/>
        <v>2.7609022556390979E-2</v>
      </c>
      <c r="BW178" s="471">
        <f t="shared" si="273"/>
        <v>110.01594151504105</v>
      </c>
      <c r="BX178" s="178">
        <f t="shared" si="274"/>
        <v>0.3539935830800261</v>
      </c>
      <c r="BY178" s="5">
        <f t="shared" si="275"/>
        <v>4.8960000000000008</v>
      </c>
      <c r="BZ178" s="178">
        <f t="shared" si="276"/>
        <v>0.93257256842734126</v>
      </c>
      <c r="CA178" s="5">
        <f t="shared" si="277"/>
        <v>93.257256842734122</v>
      </c>
      <c r="CB178">
        <f t="shared" si="278"/>
        <v>68</v>
      </c>
      <c r="CD178" s="580">
        <f t="shared" si="310"/>
        <v>-50</v>
      </c>
      <c r="CE178">
        <f t="shared" si="311"/>
        <v>-50</v>
      </c>
    </row>
    <row r="179" spans="5:83" x14ac:dyDescent="0.2">
      <c r="E179" s="175">
        <v>69</v>
      </c>
      <c r="F179" s="222">
        <f t="shared" si="312"/>
        <v>0.27599999999999997</v>
      </c>
      <c r="G179" s="222">
        <f t="shared" si="279"/>
        <v>0.13799999999999998</v>
      </c>
      <c r="H179" s="222">
        <f t="shared" si="280"/>
        <v>3.3119999999999994</v>
      </c>
      <c r="I179" s="222">
        <f t="shared" si="281"/>
        <v>1.6559999999999997</v>
      </c>
      <c r="J179" s="558">
        <f t="shared" si="282"/>
        <v>21.6</v>
      </c>
      <c r="K179" s="453">
        <f t="shared" si="283"/>
        <v>24.5</v>
      </c>
      <c r="L179" s="453">
        <f t="shared" si="284"/>
        <v>46.1</v>
      </c>
      <c r="M179" s="453"/>
      <c r="N179" s="222">
        <f t="shared" si="285"/>
        <v>0.53145336225596529</v>
      </c>
      <c r="O179" s="177">
        <f t="shared" si="286"/>
        <v>5.2709544468546632</v>
      </c>
      <c r="P179" s="177">
        <f t="shared" si="287"/>
        <v>3.9532158351409978</v>
      </c>
      <c r="Q179" s="222">
        <f t="shared" si="288"/>
        <v>0.43924620390455527</v>
      </c>
      <c r="R179" s="222">
        <f t="shared" si="289"/>
        <v>0.43924620390455527</v>
      </c>
      <c r="S179" s="222">
        <f t="shared" si="290"/>
        <v>12</v>
      </c>
      <c r="T179" s="222">
        <f t="shared" si="291"/>
        <v>0.91110633727175061</v>
      </c>
      <c r="U179" s="222">
        <f t="shared" si="292"/>
        <v>3.5431913116123632</v>
      </c>
      <c r="V179" s="222">
        <f t="shared" si="293"/>
        <v>3.1237931563602879</v>
      </c>
      <c r="W179" s="202">
        <f t="shared" si="294"/>
        <v>350</v>
      </c>
      <c r="X179" s="453">
        <f t="shared" si="295"/>
        <v>149.99284981146624</v>
      </c>
      <c r="Z179" s="222">
        <f t="shared" si="296"/>
        <v>0.39045553145336231</v>
      </c>
      <c r="AA179" s="178">
        <f t="shared" si="297"/>
        <v>1.3387046792686708</v>
      </c>
      <c r="AB179" s="178">
        <f t="shared" si="298"/>
        <v>0.12196441763402208</v>
      </c>
      <c r="AC179" s="178"/>
      <c r="AD179" s="178">
        <f t="shared" si="299"/>
        <v>0.99428571428571422</v>
      </c>
      <c r="AE179" s="562">
        <f t="shared" si="300"/>
        <v>957.19381688466115</v>
      </c>
      <c r="AF179" s="545">
        <f t="shared" si="301"/>
        <v>0.10091999999999998</v>
      </c>
      <c r="AH179" s="178">
        <f t="shared" si="302"/>
        <v>0.58134256998216582</v>
      </c>
      <c r="AI179" s="178">
        <f t="shared" si="303"/>
        <v>0.91110633727175061</v>
      </c>
      <c r="AJ179" s="178">
        <f t="shared" si="304"/>
        <v>1.6600787683494449</v>
      </c>
      <c r="AL179" s="562">
        <f t="shared" si="305"/>
        <v>275.99999999999994</v>
      </c>
      <c r="AM179" s="471">
        <f t="shared" si="306"/>
        <v>149.99284981146624</v>
      </c>
      <c r="AO179">
        <f t="shared" si="307"/>
        <v>275.99999999999994</v>
      </c>
      <c r="AP179">
        <f t="shared" si="308"/>
        <v>149.99284981146624</v>
      </c>
      <c r="AR179" s="5">
        <f t="shared" si="233"/>
        <v>6.6669844679726511</v>
      </c>
      <c r="AS179" s="5">
        <f t="shared" ref="AS179:AS242" si="313">L*AI179/J179*1000000</f>
        <v>3.5431913116123632</v>
      </c>
      <c r="AT179" s="5">
        <f t="shared" ref="AT179:AT242" si="314">AR179-AS179</f>
        <v>3.1237931563602879</v>
      </c>
      <c r="AU179" s="178">
        <f t="shared" ref="AU179:AU242" si="315">AS179/AR179</f>
        <v>0.53145336225596529</v>
      </c>
      <c r="AW179" s="5">
        <f t="shared" si="254"/>
        <v>8.1493400167084342</v>
      </c>
      <c r="AX179" s="5">
        <f t="shared" si="255"/>
        <v>4.0746700083542171</v>
      </c>
      <c r="AY179" s="5">
        <f t="shared" si="256"/>
        <v>0.4201593134285766</v>
      </c>
      <c r="AZ179" s="5"/>
      <c r="BA179" s="178">
        <f t="shared" si="257"/>
        <v>0.38347849965806668</v>
      </c>
      <c r="BB179" s="178">
        <f t="shared" si="258"/>
        <v>0.72013654142043504</v>
      </c>
      <c r="BC179" s="178">
        <f t="shared" si="259"/>
        <v>0.36006827071021752</v>
      </c>
      <c r="BD179" s="178"/>
      <c r="BE179" s="545">
        <f t="shared" si="260"/>
        <v>5.1469515895000643E-2</v>
      </c>
      <c r="BF179" s="545">
        <f t="shared" si="261"/>
        <v>4.7249999999999993E-2</v>
      </c>
      <c r="BG179" s="545">
        <f t="shared" si="262"/>
        <v>1.874910622643328E-3</v>
      </c>
      <c r="BH179" s="545">
        <f t="shared" si="263"/>
        <v>1.5938315217391308E-2</v>
      </c>
      <c r="BI179">
        <f t="shared" si="264"/>
        <v>6.2640000000000005E-3</v>
      </c>
      <c r="BK179" s="471">
        <f t="shared" si="265"/>
        <v>122.79674173503528</v>
      </c>
      <c r="BL179" s="178">
        <f t="shared" si="266"/>
        <v>8.2799999999999985E-2</v>
      </c>
      <c r="BM179" s="178">
        <f t="shared" si="267"/>
        <v>4.1399999999999992E-2</v>
      </c>
      <c r="BN179" s="545"/>
      <c r="BP179" s="471">
        <f t="shared" si="268"/>
        <v>124.19999999999997</v>
      </c>
      <c r="BQ179" s="545">
        <f t="shared" si="269"/>
        <v>1.3970297171500175E-2</v>
      </c>
      <c r="BR179" s="545">
        <f t="shared" si="270"/>
        <v>4.667369744600873E-2</v>
      </c>
      <c r="BS179" s="545">
        <f t="shared" si="271"/>
        <v>1.2964915957224649E-2</v>
      </c>
      <c r="BT179" s="545">
        <f t="shared" si="272"/>
        <v>1.0916139186003954E-2</v>
      </c>
      <c r="BU179" s="545"/>
      <c r="BV179" s="655">
        <f t="shared" si="309"/>
        <v>2.8015037593984958E-2</v>
      </c>
      <c r="BW179" s="471">
        <f t="shared" si="273"/>
        <v>112.54008735472246</v>
      </c>
      <c r="BX179" s="178">
        <f t="shared" si="274"/>
        <v>0.3595368290897577</v>
      </c>
      <c r="BY179" s="5">
        <f t="shared" si="275"/>
        <v>4.9679999999999991</v>
      </c>
      <c r="BZ179" s="178">
        <f t="shared" si="276"/>
        <v>0.93251349720820476</v>
      </c>
      <c r="CA179" s="5">
        <f t="shared" si="277"/>
        <v>93.251349720820471</v>
      </c>
      <c r="CB179">
        <f t="shared" si="278"/>
        <v>68.999999999999986</v>
      </c>
      <c r="CD179" s="580">
        <f t="shared" si="310"/>
        <v>-50</v>
      </c>
      <c r="CE179">
        <f t="shared" si="311"/>
        <v>-50</v>
      </c>
    </row>
    <row r="180" spans="5:83" x14ac:dyDescent="0.2">
      <c r="E180" s="175">
        <v>70</v>
      </c>
      <c r="F180" s="222">
        <f t="shared" si="312"/>
        <v>0.27999999999999997</v>
      </c>
      <c r="G180" s="222">
        <f t="shared" si="279"/>
        <v>0.13999999999999999</v>
      </c>
      <c r="H180" s="222">
        <f t="shared" si="280"/>
        <v>3.3599999999999994</v>
      </c>
      <c r="I180" s="222">
        <f t="shared" si="281"/>
        <v>1.6799999999999997</v>
      </c>
      <c r="J180" s="558">
        <f t="shared" si="282"/>
        <v>21.6</v>
      </c>
      <c r="K180" s="453">
        <f t="shared" si="283"/>
        <v>24.5</v>
      </c>
      <c r="L180" s="453">
        <f t="shared" si="284"/>
        <v>46.1</v>
      </c>
      <c r="M180" s="453"/>
      <c r="N180" s="222">
        <f t="shared" si="285"/>
        <v>0.53145336225596529</v>
      </c>
      <c r="O180" s="177">
        <f t="shared" si="286"/>
        <v>5.2709544468546632</v>
      </c>
      <c r="P180" s="177">
        <f t="shared" si="287"/>
        <v>3.9532158351409978</v>
      </c>
      <c r="Q180" s="222">
        <f t="shared" si="288"/>
        <v>0.43924620390455527</v>
      </c>
      <c r="R180" s="222">
        <f t="shared" si="289"/>
        <v>0.43924620390455527</v>
      </c>
      <c r="S180" s="222">
        <f t="shared" si="290"/>
        <v>12</v>
      </c>
      <c r="T180" s="222">
        <f t="shared" si="291"/>
        <v>0.92431077694235575</v>
      </c>
      <c r="U180" s="222">
        <f t="shared" si="292"/>
        <v>3.5945419103313827</v>
      </c>
      <c r="V180" s="222">
        <f t="shared" si="293"/>
        <v>3.1690655209452196</v>
      </c>
      <c r="W180" s="202">
        <f t="shared" si="294"/>
        <v>350</v>
      </c>
      <c r="X180" s="453">
        <f t="shared" si="295"/>
        <v>147.85009481415958</v>
      </c>
      <c r="Z180" s="222">
        <f t="shared" si="296"/>
        <v>0.39045553145336231</v>
      </c>
      <c r="AA180" s="178">
        <f t="shared" si="297"/>
        <v>1.3387046792686708</v>
      </c>
      <c r="AB180" s="178">
        <f t="shared" si="298"/>
        <v>0.12196441763402208</v>
      </c>
      <c r="AC180" s="178"/>
      <c r="AD180" s="178">
        <f t="shared" si="299"/>
        <v>0.99428571428571422</v>
      </c>
      <c r="AE180" s="562">
        <f t="shared" si="300"/>
        <v>971.06619104241008</v>
      </c>
      <c r="AF180" s="545">
        <f t="shared" si="301"/>
        <v>0.10091999999999998</v>
      </c>
      <c r="AH180" s="178">
        <f t="shared" si="302"/>
        <v>0.58554004376911983</v>
      </c>
      <c r="AI180" s="178">
        <f t="shared" si="303"/>
        <v>0.92431077694235575</v>
      </c>
      <c r="AJ180" s="178">
        <f t="shared" si="304"/>
        <v>1.6698598347721152</v>
      </c>
      <c r="AL180" s="562">
        <f t="shared" si="305"/>
        <v>279.99999999999994</v>
      </c>
      <c r="AM180" s="471">
        <f t="shared" si="306"/>
        <v>147.85009481415958</v>
      </c>
      <c r="AO180">
        <f t="shared" si="307"/>
        <v>279.99999999999994</v>
      </c>
      <c r="AP180">
        <f t="shared" si="308"/>
        <v>147.85009481415958</v>
      </c>
      <c r="AR180" s="5">
        <f t="shared" si="233"/>
        <v>6.7636074312766024</v>
      </c>
      <c r="AS180" s="5">
        <f t="shared" si="313"/>
        <v>3.5945419103313827</v>
      </c>
      <c r="AT180" s="5">
        <f t="shared" si="314"/>
        <v>3.1690655209452196</v>
      </c>
      <c r="AU180" s="178">
        <f t="shared" si="315"/>
        <v>0.53145336225596529</v>
      </c>
      <c r="AW180" s="5">
        <f t="shared" si="254"/>
        <v>8.3872644574398922</v>
      </c>
      <c r="AX180" s="5">
        <f t="shared" si="255"/>
        <v>4.1936322287199461</v>
      </c>
      <c r="AY180" s="5">
        <f t="shared" si="256"/>
        <v>0.4324260944759557</v>
      </c>
      <c r="AZ180" s="5"/>
      <c r="BA180" s="178">
        <f t="shared" si="257"/>
        <v>0.389036159073401</v>
      </c>
      <c r="BB180" s="178">
        <f t="shared" si="258"/>
        <v>0.73057330289029654</v>
      </c>
      <c r="BC180" s="178">
        <f t="shared" si="259"/>
        <v>0.36528665144514827</v>
      </c>
      <c r="BD180" s="178"/>
      <c r="BE180" s="545">
        <f t="shared" si="260"/>
        <v>5.2972196573304597E-2</v>
      </c>
      <c r="BF180" s="545">
        <f t="shared" si="261"/>
        <v>4.725E-2</v>
      </c>
      <c r="BG180" s="545">
        <f t="shared" si="262"/>
        <v>1.8481261851769947E-3</v>
      </c>
      <c r="BH180" s="545">
        <f t="shared" si="263"/>
        <v>1.5710625000000002E-2</v>
      </c>
      <c r="BI180">
        <f t="shared" si="264"/>
        <v>6.2640000000000005E-3</v>
      </c>
      <c r="BK180" s="471">
        <f t="shared" si="265"/>
        <v>124.0449477584816</v>
      </c>
      <c r="BL180" s="178">
        <f t="shared" si="266"/>
        <v>8.3999999999999991E-2</v>
      </c>
      <c r="BM180" s="178">
        <f t="shared" si="267"/>
        <v>4.1999999999999996E-2</v>
      </c>
      <c r="BN180" s="545"/>
      <c r="BP180" s="471">
        <f t="shared" si="268"/>
        <v>126</v>
      </c>
      <c r="BQ180" s="545">
        <f t="shared" si="269"/>
        <v>1.4378167641325533E-2</v>
      </c>
      <c r="BR180" s="545">
        <f t="shared" si="270"/>
        <v>4.8036361580643332E-2</v>
      </c>
      <c r="BS180" s="545">
        <f t="shared" si="271"/>
        <v>1.3343433772400926E-2</v>
      </c>
      <c r="BT180" s="545">
        <f t="shared" si="272"/>
        <v>1.0916139186003964E-2</v>
      </c>
      <c r="BU180" s="545"/>
      <c r="BV180" s="655">
        <f t="shared" si="309"/>
        <v>2.8421052631578951E-2</v>
      </c>
      <c r="BW180" s="471">
        <f t="shared" si="273"/>
        <v>115.09515481195271</v>
      </c>
      <c r="BX180" s="178">
        <f t="shared" si="274"/>
        <v>0.36514010257043433</v>
      </c>
      <c r="BY180" s="5">
        <f t="shared" si="275"/>
        <v>5.0399999999999991</v>
      </c>
      <c r="BZ180" s="178">
        <f t="shared" si="276"/>
        <v>0.93244576539342794</v>
      </c>
      <c r="CA180" s="5">
        <f t="shared" si="277"/>
        <v>93.244576539342788</v>
      </c>
      <c r="CB180">
        <f t="shared" si="278"/>
        <v>69.999999999999986</v>
      </c>
      <c r="CD180" s="580">
        <f t="shared" si="310"/>
        <v>-50</v>
      </c>
      <c r="CE180">
        <f t="shared" si="311"/>
        <v>-50</v>
      </c>
    </row>
    <row r="181" spans="5:83" x14ac:dyDescent="0.2">
      <c r="E181" s="175">
        <v>71</v>
      </c>
      <c r="F181" s="222">
        <f t="shared" si="312"/>
        <v>0.28399999999999997</v>
      </c>
      <c r="G181" s="222">
        <f t="shared" si="279"/>
        <v>0.14199999999999999</v>
      </c>
      <c r="H181" s="222">
        <f t="shared" si="280"/>
        <v>3.4079999999999995</v>
      </c>
      <c r="I181" s="222">
        <f t="shared" si="281"/>
        <v>1.7039999999999997</v>
      </c>
      <c r="J181" s="558">
        <f t="shared" si="282"/>
        <v>21.6</v>
      </c>
      <c r="K181" s="453">
        <f t="shared" si="283"/>
        <v>24.5</v>
      </c>
      <c r="L181" s="453">
        <f t="shared" si="284"/>
        <v>46.1</v>
      </c>
      <c r="M181" s="453"/>
      <c r="N181" s="222">
        <f t="shared" si="285"/>
        <v>0.53145336225596529</v>
      </c>
      <c r="O181" s="177">
        <f t="shared" si="286"/>
        <v>5.2709544468546632</v>
      </c>
      <c r="P181" s="177">
        <f t="shared" si="287"/>
        <v>3.9532158351409978</v>
      </c>
      <c r="Q181" s="222">
        <f t="shared" si="288"/>
        <v>0.43924620390455527</v>
      </c>
      <c r="R181" s="222">
        <f t="shared" si="289"/>
        <v>0.43924620390455527</v>
      </c>
      <c r="S181" s="222">
        <f t="shared" si="290"/>
        <v>12</v>
      </c>
      <c r="T181" s="222">
        <f t="shared" si="291"/>
        <v>0.93751521661296078</v>
      </c>
      <c r="U181" s="222">
        <f t="shared" si="292"/>
        <v>3.6458925090504026</v>
      </c>
      <c r="V181" s="222">
        <f t="shared" si="293"/>
        <v>3.214337885530151</v>
      </c>
      <c r="W181" s="202">
        <f t="shared" si="294"/>
        <v>350</v>
      </c>
      <c r="X181" s="453">
        <f t="shared" si="295"/>
        <v>145.76769911255172</v>
      </c>
      <c r="Z181" s="222">
        <f t="shared" si="296"/>
        <v>0.39045553145336231</v>
      </c>
      <c r="AA181" s="178">
        <f t="shared" si="297"/>
        <v>1.3387046792686708</v>
      </c>
      <c r="AB181" s="178">
        <f t="shared" si="298"/>
        <v>0.12196441763402208</v>
      </c>
      <c r="AC181" s="178"/>
      <c r="AD181" s="178">
        <f t="shared" si="299"/>
        <v>0.99428571428571422</v>
      </c>
      <c r="AE181" s="562">
        <f t="shared" si="300"/>
        <v>984.93856520015868</v>
      </c>
      <c r="AF181" s="545">
        <f t="shared" si="301"/>
        <v>0.10091999999999998</v>
      </c>
      <c r="AH181" s="178">
        <f t="shared" si="302"/>
        <v>0.58970764115857977</v>
      </c>
      <c r="AI181" s="178">
        <f t="shared" si="303"/>
        <v>0.93751521661296078</v>
      </c>
      <c r="AJ181" s="178">
        <f t="shared" si="304"/>
        <v>1.6796409011947857</v>
      </c>
      <c r="AL181" s="562">
        <f t="shared" si="305"/>
        <v>284</v>
      </c>
      <c r="AM181" s="471">
        <f t="shared" si="306"/>
        <v>145.76769911255172</v>
      </c>
      <c r="AO181">
        <f t="shared" si="307"/>
        <v>284</v>
      </c>
      <c r="AP181">
        <f t="shared" si="308"/>
        <v>145.76769911255172</v>
      </c>
      <c r="AR181" s="5">
        <f t="shared" si="233"/>
        <v>6.8602303945805527</v>
      </c>
      <c r="AS181" s="5">
        <f t="shared" si="313"/>
        <v>3.6458925090504026</v>
      </c>
      <c r="AT181" s="5">
        <f t="shared" si="314"/>
        <v>3.2143378855301501</v>
      </c>
      <c r="AU181" s="178">
        <f t="shared" si="315"/>
        <v>0.5314533622559654</v>
      </c>
      <c r="AW181" s="5">
        <f t="shared" si="254"/>
        <v>8.6286122714192857</v>
      </c>
      <c r="AX181" s="5">
        <f t="shared" si="255"/>
        <v>4.3143061357096428</v>
      </c>
      <c r="AY181" s="5">
        <f t="shared" si="256"/>
        <v>0.4448693759700596</v>
      </c>
      <c r="AZ181" s="5"/>
      <c r="BA181" s="178">
        <f t="shared" si="257"/>
        <v>0.39459381848873532</v>
      </c>
      <c r="BB181" s="178">
        <f t="shared" si="258"/>
        <v>0.74101006436015782</v>
      </c>
      <c r="BC181" s="178">
        <f t="shared" si="259"/>
        <v>0.37050503218007891</v>
      </c>
      <c r="BD181" s="178"/>
      <c r="BE181" s="545">
        <f t="shared" si="260"/>
        <v>5.4496498556332346E-2</v>
      </c>
      <c r="BF181" s="545">
        <f t="shared" si="261"/>
        <v>4.725E-2</v>
      </c>
      <c r="BG181" s="545">
        <f t="shared" si="262"/>
        <v>1.8220962389068965E-3</v>
      </c>
      <c r="BH181" s="545">
        <f t="shared" si="263"/>
        <v>1.5489348591549303E-2</v>
      </c>
      <c r="BI181">
        <f t="shared" si="264"/>
        <v>6.2640000000000005E-3</v>
      </c>
      <c r="BK181" s="471">
        <f t="shared" si="265"/>
        <v>125.32194338678853</v>
      </c>
      <c r="BL181" s="178">
        <f t="shared" si="266"/>
        <v>8.5199999999999984E-2</v>
      </c>
      <c r="BM181" s="178">
        <f t="shared" si="267"/>
        <v>4.2599999999999992E-2</v>
      </c>
      <c r="BN181" s="545"/>
      <c r="BP181" s="471">
        <f t="shared" si="268"/>
        <v>127.79999999999997</v>
      </c>
      <c r="BQ181" s="545">
        <f t="shared" si="269"/>
        <v>1.4791906751004493E-2</v>
      </c>
      <c r="BR181" s="545">
        <f t="shared" si="270"/>
        <v>4.941863239347407E-2</v>
      </c>
      <c r="BS181" s="545">
        <f t="shared" si="271"/>
        <v>1.3727397887076132E-2</v>
      </c>
      <c r="BT181" s="545">
        <f t="shared" si="272"/>
        <v>1.0916139186003933E-2</v>
      </c>
      <c r="BU181" s="545"/>
      <c r="BV181" s="655">
        <f t="shared" si="309"/>
        <v>2.8827067669172937E-2</v>
      </c>
      <c r="BW181" s="471">
        <f t="shared" si="273"/>
        <v>117.68114388673158</v>
      </c>
      <c r="BX181" s="178">
        <f t="shared" si="274"/>
        <v>0.37080308727352002</v>
      </c>
      <c r="BY181" s="5">
        <f t="shared" si="275"/>
        <v>5.1119999999999992</v>
      </c>
      <c r="BZ181" s="178">
        <f t="shared" si="276"/>
        <v>0.93236979673149034</v>
      </c>
      <c r="CA181" s="5">
        <f t="shared" si="277"/>
        <v>93.236979673149037</v>
      </c>
      <c r="CB181">
        <f t="shared" si="278"/>
        <v>70.999999999999986</v>
      </c>
      <c r="CD181" s="580">
        <f t="shared" si="310"/>
        <v>-50</v>
      </c>
      <c r="CE181">
        <f t="shared" si="311"/>
        <v>-50</v>
      </c>
    </row>
    <row r="182" spans="5:83" x14ac:dyDescent="0.2">
      <c r="E182" s="175">
        <v>72</v>
      </c>
      <c r="F182" s="222">
        <f t="shared" si="312"/>
        <v>0.28799999999999998</v>
      </c>
      <c r="G182" s="222">
        <f t="shared" si="279"/>
        <v>0.14399999999999999</v>
      </c>
      <c r="H182" s="222">
        <f t="shared" si="280"/>
        <v>3.4559999999999995</v>
      </c>
      <c r="I182" s="222">
        <f t="shared" si="281"/>
        <v>1.7279999999999998</v>
      </c>
      <c r="J182" s="558">
        <f t="shared" si="282"/>
        <v>21.6</v>
      </c>
      <c r="K182" s="453">
        <f t="shared" si="283"/>
        <v>24.5</v>
      </c>
      <c r="L182" s="453">
        <f t="shared" si="284"/>
        <v>46.1</v>
      </c>
      <c r="M182" s="453"/>
      <c r="N182" s="222">
        <f t="shared" si="285"/>
        <v>0.53145336225596529</v>
      </c>
      <c r="O182" s="177">
        <f t="shared" si="286"/>
        <v>5.2709544468546632</v>
      </c>
      <c r="P182" s="177">
        <f t="shared" si="287"/>
        <v>3.9532158351409978</v>
      </c>
      <c r="Q182" s="222">
        <f t="shared" si="288"/>
        <v>0.43924620390455527</v>
      </c>
      <c r="R182" s="222">
        <f t="shared" si="289"/>
        <v>0.43924620390455527</v>
      </c>
      <c r="S182" s="222">
        <f t="shared" si="290"/>
        <v>12</v>
      </c>
      <c r="T182" s="222">
        <f t="shared" si="291"/>
        <v>0.95071965628356592</v>
      </c>
      <c r="U182" s="222">
        <f t="shared" si="292"/>
        <v>3.6972431077694226</v>
      </c>
      <c r="V182" s="222">
        <f t="shared" si="293"/>
        <v>3.2596102501150828</v>
      </c>
      <c r="W182" s="202">
        <f t="shared" si="294"/>
        <v>350</v>
      </c>
      <c r="X182" s="453">
        <f t="shared" si="295"/>
        <v>143.74314773598849</v>
      </c>
      <c r="Z182" s="222">
        <f t="shared" si="296"/>
        <v>0.39045553145336231</v>
      </c>
      <c r="AA182" s="178">
        <f t="shared" si="297"/>
        <v>1.3387046792686708</v>
      </c>
      <c r="AB182" s="178">
        <f t="shared" si="298"/>
        <v>0.12196441763402208</v>
      </c>
      <c r="AC182" s="178"/>
      <c r="AD182" s="178">
        <f t="shared" si="299"/>
        <v>0.99428571428571422</v>
      </c>
      <c r="AE182" s="562">
        <f t="shared" si="300"/>
        <v>998.81093935790739</v>
      </c>
      <c r="AF182" s="545">
        <f t="shared" si="301"/>
        <v>0.10091999999999998</v>
      </c>
      <c r="AH182" s="178">
        <f t="shared" si="302"/>
        <v>0.59384599116647219</v>
      </c>
      <c r="AI182" s="178">
        <f t="shared" si="303"/>
        <v>0.95071965628356592</v>
      </c>
      <c r="AJ182" s="178">
        <f t="shared" si="304"/>
        <v>1.6894219676174562</v>
      </c>
      <c r="AL182" s="562">
        <f t="shared" si="305"/>
        <v>288</v>
      </c>
      <c r="AM182" s="471">
        <f t="shared" si="306"/>
        <v>143.74314773598849</v>
      </c>
      <c r="AO182">
        <f t="shared" si="307"/>
        <v>288</v>
      </c>
      <c r="AP182">
        <f t="shared" si="308"/>
        <v>143.74314773598849</v>
      </c>
      <c r="AR182" s="5">
        <f t="shared" si="233"/>
        <v>6.9568533578845049</v>
      </c>
      <c r="AS182" s="5">
        <f t="shared" si="313"/>
        <v>3.6972431077694226</v>
      </c>
      <c r="AT182" s="5">
        <f t="shared" si="314"/>
        <v>3.2596102501150823</v>
      </c>
      <c r="AU182" s="178">
        <f t="shared" si="315"/>
        <v>0.53145336225596529</v>
      </c>
      <c r="AW182" s="5">
        <f t="shared" si="254"/>
        <v>8.8733834586466127</v>
      </c>
      <c r="AX182" s="5">
        <f t="shared" si="255"/>
        <v>4.4366917293233064</v>
      </c>
      <c r="AY182" s="5">
        <f t="shared" si="256"/>
        <v>0.45748915791088857</v>
      </c>
      <c r="AZ182" s="5"/>
      <c r="BA182" s="178">
        <f t="shared" si="257"/>
        <v>0.40015147790406957</v>
      </c>
      <c r="BB182" s="178">
        <f t="shared" si="258"/>
        <v>0.7514468258300192</v>
      </c>
      <c r="BC182" s="178">
        <f t="shared" si="259"/>
        <v>0.3757234129150096</v>
      </c>
      <c r="BD182" s="178"/>
      <c r="BE182" s="545">
        <f t="shared" si="260"/>
        <v>5.6042421844083874E-2</v>
      </c>
      <c r="BF182" s="545">
        <f t="shared" si="261"/>
        <v>4.725E-2</v>
      </c>
      <c r="BG182" s="545">
        <f t="shared" si="262"/>
        <v>1.7967893466998561E-3</v>
      </c>
      <c r="BH182" s="545">
        <f t="shared" si="263"/>
        <v>1.5274218750000004E-2</v>
      </c>
      <c r="BI182">
        <f t="shared" si="264"/>
        <v>6.2640000000000005E-3</v>
      </c>
      <c r="BK182" s="471">
        <f t="shared" si="265"/>
        <v>126.62742994078374</v>
      </c>
      <c r="BL182" s="178">
        <f t="shared" si="266"/>
        <v>8.6399999999999991E-2</v>
      </c>
      <c r="BM182" s="178">
        <f t="shared" si="267"/>
        <v>4.3199999999999995E-2</v>
      </c>
      <c r="BN182" s="545"/>
      <c r="BP182" s="471">
        <f t="shared" si="268"/>
        <v>129.6</v>
      </c>
      <c r="BQ182" s="545">
        <f t="shared" si="269"/>
        <v>1.5211514500537052E-2</v>
      </c>
      <c r="BR182" s="545">
        <f t="shared" si="270"/>
        <v>5.0820509884501007E-2</v>
      </c>
      <c r="BS182" s="545">
        <f t="shared" si="271"/>
        <v>1.4116808301250281E-2</v>
      </c>
      <c r="BT182" s="545">
        <f t="shared" si="272"/>
        <v>1.0916139186003945E-2</v>
      </c>
      <c r="BU182" s="545"/>
      <c r="BV182" s="655">
        <f t="shared" si="309"/>
        <v>2.9233082706766923E-2</v>
      </c>
      <c r="BW182" s="471">
        <f t="shared" si="273"/>
        <v>120.29805457905921</v>
      </c>
      <c r="BX182" s="178">
        <f t="shared" si="274"/>
        <v>0.37652548451984291</v>
      </c>
      <c r="BY182" s="5">
        <f t="shared" si="275"/>
        <v>5.1839999999999993</v>
      </c>
      <c r="BZ182" s="178">
        <f t="shared" si="276"/>
        <v>0.93228598887496039</v>
      </c>
      <c r="CA182" s="5">
        <f t="shared" si="277"/>
        <v>93.228598887496034</v>
      </c>
      <c r="CB182">
        <f t="shared" si="278"/>
        <v>71.999999999999986</v>
      </c>
      <c r="CD182" s="580">
        <f t="shared" si="310"/>
        <v>-50</v>
      </c>
      <c r="CE182">
        <f t="shared" si="311"/>
        <v>-50</v>
      </c>
    </row>
    <row r="183" spans="5:83" x14ac:dyDescent="0.2">
      <c r="E183" s="175">
        <v>73</v>
      </c>
      <c r="F183" s="222">
        <f t="shared" si="312"/>
        <v>0.29199999999999998</v>
      </c>
      <c r="G183" s="222">
        <f t="shared" si="279"/>
        <v>0.14599999999999999</v>
      </c>
      <c r="H183" s="222">
        <f t="shared" si="280"/>
        <v>3.5039999999999996</v>
      </c>
      <c r="I183" s="222">
        <f t="shared" si="281"/>
        <v>1.7519999999999998</v>
      </c>
      <c r="J183" s="558">
        <f t="shared" si="282"/>
        <v>21.6</v>
      </c>
      <c r="K183" s="453">
        <f t="shared" si="283"/>
        <v>24.5</v>
      </c>
      <c r="L183" s="453">
        <f t="shared" si="284"/>
        <v>46.1</v>
      </c>
      <c r="M183" s="453"/>
      <c r="N183" s="222">
        <f t="shared" si="285"/>
        <v>0.53145336225596529</v>
      </c>
      <c r="O183" s="177">
        <f t="shared" si="286"/>
        <v>5.2709544468546632</v>
      </c>
      <c r="P183" s="177">
        <f t="shared" si="287"/>
        <v>3.9532158351409978</v>
      </c>
      <c r="Q183" s="222">
        <f t="shared" si="288"/>
        <v>0.43924620390455527</v>
      </c>
      <c r="R183" s="222">
        <f t="shared" si="289"/>
        <v>0.43924620390455527</v>
      </c>
      <c r="S183" s="222">
        <f t="shared" si="290"/>
        <v>12</v>
      </c>
      <c r="T183" s="222">
        <f t="shared" si="291"/>
        <v>0.96392409595417095</v>
      </c>
      <c r="U183" s="222">
        <f t="shared" si="292"/>
        <v>3.748593706488442</v>
      </c>
      <c r="V183" s="222">
        <f t="shared" si="293"/>
        <v>3.304882614700015</v>
      </c>
      <c r="W183" s="202">
        <f t="shared" si="294"/>
        <v>350</v>
      </c>
      <c r="X183" s="453">
        <f t="shared" si="295"/>
        <v>141.77406352042698</v>
      </c>
      <c r="Z183" s="222">
        <f t="shared" si="296"/>
        <v>0.39045553145336231</v>
      </c>
      <c r="AA183" s="178">
        <f t="shared" si="297"/>
        <v>1.3387046792686708</v>
      </c>
      <c r="AB183" s="178">
        <f t="shared" si="298"/>
        <v>0.12196441763402208</v>
      </c>
      <c r="AC183" s="178"/>
      <c r="AD183" s="178">
        <f t="shared" si="299"/>
        <v>0.99428571428571422</v>
      </c>
      <c r="AE183" s="562">
        <f t="shared" si="300"/>
        <v>1012.6833135156562</v>
      </c>
      <c r="AF183" s="545">
        <f t="shared" si="301"/>
        <v>0.10091999999999998</v>
      </c>
      <c r="AH183" s="178">
        <f t="shared" si="302"/>
        <v>0.59795570104161</v>
      </c>
      <c r="AI183" s="178">
        <f t="shared" si="303"/>
        <v>0.96392409595417095</v>
      </c>
      <c r="AJ183" s="178">
        <f t="shared" si="304"/>
        <v>1.6992030340401267</v>
      </c>
      <c r="AL183" s="562">
        <f t="shared" si="305"/>
        <v>292</v>
      </c>
      <c r="AM183" s="471">
        <f t="shared" si="306"/>
        <v>141.77406352042698</v>
      </c>
      <c r="AO183">
        <f t="shared" si="307"/>
        <v>292</v>
      </c>
      <c r="AP183">
        <f t="shared" si="308"/>
        <v>141.77406352042698</v>
      </c>
      <c r="AR183" s="5">
        <f t="shared" si="233"/>
        <v>7.053476321188457</v>
      </c>
      <c r="AS183" s="5">
        <f t="shared" si="313"/>
        <v>3.748593706488442</v>
      </c>
      <c r="AT183" s="5">
        <f t="shared" si="314"/>
        <v>3.304882614700015</v>
      </c>
      <c r="AU183" s="178">
        <f t="shared" si="315"/>
        <v>0.53145336225596518</v>
      </c>
      <c r="AW183" s="5">
        <f t="shared" si="254"/>
        <v>9.1215780191218734</v>
      </c>
      <c r="AX183" s="5">
        <f t="shared" si="255"/>
        <v>4.5607890095609367</v>
      </c>
      <c r="AY183" s="5">
        <f t="shared" si="256"/>
        <v>0.47028544029844255</v>
      </c>
      <c r="AZ183" s="5"/>
      <c r="BA183" s="178">
        <f t="shared" si="257"/>
        <v>0.40570913731940383</v>
      </c>
      <c r="BB183" s="178">
        <f t="shared" si="258"/>
        <v>0.7618835872998807</v>
      </c>
      <c r="BC183" s="178">
        <f t="shared" si="259"/>
        <v>0.38094179364994035</v>
      </c>
      <c r="BD183" s="178"/>
      <c r="BE183" s="545">
        <f t="shared" si="260"/>
        <v>5.7609966436559204E-2</v>
      </c>
      <c r="BF183" s="545">
        <f t="shared" si="261"/>
        <v>4.7249999999999993E-2</v>
      </c>
      <c r="BG183" s="545">
        <f t="shared" si="262"/>
        <v>1.7721757940053371E-3</v>
      </c>
      <c r="BH183" s="545">
        <f t="shared" si="263"/>
        <v>1.5064982876712331E-2</v>
      </c>
      <c r="BI183">
        <f t="shared" si="264"/>
        <v>6.2640000000000005E-3</v>
      </c>
      <c r="BK183" s="471">
        <f t="shared" si="265"/>
        <v>127.96112510727686</v>
      </c>
      <c r="BL183" s="178">
        <f t="shared" si="266"/>
        <v>8.7599999999999997E-2</v>
      </c>
      <c r="BM183" s="178">
        <f t="shared" si="267"/>
        <v>4.3799999999999999E-2</v>
      </c>
      <c r="BN183" s="545"/>
      <c r="BP183" s="471">
        <f t="shared" si="268"/>
        <v>131.39999999999998</v>
      </c>
      <c r="BQ183" s="545">
        <f t="shared" si="269"/>
        <v>1.5636990889923215E-2</v>
      </c>
      <c r="BR183" s="545">
        <f t="shared" si="270"/>
        <v>5.2241994053724136E-2</v>
      </c>
      <c r="BS183" s="545">
        <f t="shared" si="271"/>
        <v>1.4511665014923373E-2</v>
      </c>
      <c r="BT183" s="545">
        <f t="shared" si="272"/>
        <v>1.0916139186003945E-2</v>
      </c>
      <c r="BU183" s="545"/>
      <c r="BV183" s="655">
        <f t="shared" si="309"/>
        <v>2.9639097744360899E-2</v>
      </c>
      <c r="BW183" s="471">
        <f t="shared" si="273"/>
        <v>122.94588688893556</v>
      </c>
      <c r="BX183" s="178">
        <f t="shared" si="274"/>
        <v>0.38230701199621242</v>
      </c>
      <c r="BY183" s="5">
        <f t="shared" si="275"/>
        <v>5.2559999999999993</v>
      </c>
      <c r="BZ183" s="178">
        <f t="shared" si="276"/>
        <v>0.93219471533160481</v>
      </c>
      <c r="CA183" s="5">
        <f t="shared" si="277"/>
        <v>93.219471533160487</v>
      </c>
      <c r="CB183">
        <f t="shared" si="278"/>
        <v>72.999999999999986</v>
      </c>
      <c r="CD183" s="580">
        <f t="shared" si="310"/>
        <v>-50</v>
      </c>
      <c r="CE183">
        <f t="shared" si="311"/>
        <v>-50</v>
      </c>
    </row>
    <row r="184" spans="5:83" x14ac:dyDescent="0.2">
      <c r="E184" s="175">
        <v>74</v>
      </c>
      <c r="F184" s="222">
        <f t="shared" si="312"/>
        <v>0.29599999999999999</v>
      </c>
      <c r="G184" s="222">
        <f t="shared" si="279"/>
        <v>0.14799999999999999</v>
      </c>
      <c r="H184" s="222">
        <f t="shared" si="280"/>
        <v>3.5519999999999996</v>
      </c>
      <c r="I184" s="222">
        <f t="shared" si="281"/>
        <v>1.7759999999999998</v>
      </c>
      <c r="J184" s="558">
        <f t="shared" si="282"/>
        <v>21.6</v>
      </c>
      <c r="K184" s="453">
        <f t="shared" si="283"/>
        <v>24.5</v>
      </c>
      <c r="L184" s="453">
        <f t="shared" si="284"/>
        <v>46.1</v>
      </c>
      <c r="M184" s="453"/>
      <c r="N184" s="222">
        <f t="shared" si="285"/>
        <v>0.53145336225596529</v>
      </c>
      <c r="O184" s="177">
        <f t="shared" si="286"/>
        <v>5.2709544468546632</v>
      </c>
      <c r="P184" s="177">
        <f t="shared" si="287"/>
        <v>3.9532158351409978</v>
      </c>
      <c r="Q184" s="222">
        <f t="shared" si="288"/>
        <v>0.43924620390455527</v>
      </c>
      <c r="R184" s="222">
        <f t="shared" si="289"/>
        <v>0.43924620390455527</v>
      </c>
      <c r="S184" s="222">
        <f t="shared" si="290"/>
        <v>12</v>
      </c>
      <c r="T184" s="222">
        <f t="shared" si="291"/>
        <v>0.97712853562477608</v>
      </c>
      <c r="U184" s="222">
        <f t="shared" si="292"/>
        <v>3.7999443052074624</v>
      </c>
      <c r="V184" s="222">
        <f t="shared" si="293"/>
        <v>3.3501549792849463</v>
      </c>
      <c r="W184" s="202">
        <f t="shared" si="294"/>
        <v>350</v>
      </c>
      <c r="X184" s="453">
        <f t="shared" si="295"/>
        <v>139.85819779717795</v>
      </c>
      <c r="Z184" s="222">
        <f t="shared" si="296"/>
        <v>0.39045553145336231</v>
      </c>
      <c r="AA184" s="178">
        <f t="shared" si="297"/>
        <v>1.3387046792686708</v>
      </c>
      <c r="AB184" s="178">
        <f t="shared" si="298"/>
        <v>0.12196441763402208</v>
      </c>
      <c r="AC184" s="178"/>
      <c r="AD184" s="178">
        <f t="shared" si="299"/>
        <v>0.99428571428571422</v>
      </c>
      <c r="AE184" s="562">
        <f t="shared" si="300"/>
        <v>1026.5556876734049</v>
      </c>
      <c r="AF184" s="545">
        <f t="shared" si="301"/>
        <v>0.10091999999999998</v>
      </c>
      <c r="AH184" s="178">
        <f t="shared" si="302"/>
        <v>0.60203735730587071</v>
      </c>
      <c r="AI184" s="178">
        <f t="shared" si="303"/>
        <v>0.97712853562477608</v>
      </c>
      <c r="AJ184" s="178">
        <f t="shared" si="304"/>
        <v>1.708984100462797</v>
      </c>
      <c r="AL184" s="562">
        <f t="shared" si="305"/>
        <v>296</v>
      </c>
      <c r="AM184" s="471">
        <f t="shared" si="306"/>
        <v>139.85819779717795</v>
      </c>
      <c r="AO184">
        <f t="shared" si="307"/>
        <v>296</v>
      </c>
      <c r="AP184">
        <f t="shared" si="308"/>
        <v>139.85819779717795</v>
      </c>
      <c r="AR184" s="5">
        <f t="shared" si="233"/>
        <v>7.1500992844924101</v>
      </c>
      <c r="AS184" s="5">
        <f t="shared" si="313"/>
        <v>3.7999443052074624</v>
      </c>
      <c r="AT184" s="5">
        <f t="shared" si="314"/>
        <v>3.3501549792849477</v>
      </c>
      <c r="AU184" s="178">
        <f t="shared" si="315"/>
        <v>0.53145336225596518</v>
      </c>
      <c r="AW184" s="5">
        <f t="shared" si="254"/>
        <v>9.3731959528450748</v>
      </c>
      <c r="AX184" s="5">
        <f t="shared" si="255"/>
        <v>4.6865979764225374</v>
      </c>
      <c r="AY184" s="5">
        <f t="shared" si="256"/>
        <v>0.48325822313272132</v>
      </c>
      <c r="AZ184" s="5"/>
      <c r="BA184" s="178">
        <f t="shared" si="257"/>
        <v>0.41126679673473815</v>
      </c>
      <c r="BB184" s="178">
        <f t="shared" si="258"/>
        <v>0.77232034876974209</v>
      </c>
      <c r="BC184" s="178">
        <f t="shared" si="259"/>
        <v>0.38616017438487105</v>
      </c>
      <c r="BD184" s="178"/>
      <c r="BE184" s="545">
        <f t="shared" si="260"/>
        <v>5.9199132333758349E-2</v>
      </c>
      <c r="BF184" s="545">
        <f t="shared" si="261"/>
        <v>4.7249999999999986E-2</v>
      </c>
      <c r="BG184" s="545">
        <f t="shared" si="262"/>
        <v>1.7482274724647244E-3</v>
      </c>
      <c r="BH184" s="545">
        <f t="shared" si="263"/>
        <v>1.4861402027027027E-2</v>
      </c>
      <c r="BI184">
        <f t="shared" si="264"/>
        <v>6.2640000000000005E-3</v>
      </c>
      <c r="BK184" s="471">
        <f t="shared" si="265"/>
        <v>129.3227618332501</v>
      </c>
      <c r="BL184" s="178">
        <f t="shared" si="266"/>
        <v>8.879999999999999E-2</v>
      </c>
      <c r="BM184" s="178">
        <f t="shared" si="267"/>
        <v>4.4399999999999995E-2</v>
      </c>
      <c r="BN184" s="545"/>
      <c r="BP184" s="471">
        <f t="shared" si="268"/>
        <v>133.19999999999999</v>
      </c>
      <c r="BQ184" s="545">
        <f t="shared" si="269"/>
        <v>1.6068335919162981E-2</v>
      </c>
      <c r="BR184" s="545">
        <f t="shared" si="270"/>
        <v>5.3683084901143444E-2</v>
      </c>
      <c r="BS184" s="545">
        <f t="shared" si="271"/>
        <v>1.4911968028095402E-2</v>
      </c>
      <c r="BT184" s="545">
        <f t="shared" si="272"/>
        <v>1.0916139186003922E-2</v>
      </c>
      <c r="BU184" s="545"/>
      <c r="BV184" s="655">
        <f t="shared" si="309"/>
        <v>3.0045112781954882E-2</v>
      </c>
      <c r="BW184" s="471">
        <f t="shared" si="273"/>
        <v>125.62464081636062</v>
      </c>
      <c r="BX184" s="178">
        <f t="shared" si="274"/>
        <v>0.38814740264961067</v>
      </c>
      <c r="BY184" s="5">
        <f t="shared" si="275"/>
        <v>5.3279999999999994</v>
      </c>
      <c r="BZ184" s="178">
        <f t="shared" si="276"/>
        <v>0.93209632724486913</v>
      </c>
      <c r="CA184" s="5">
        <f t="shared" si="277"/>
        <v>93.209632724486909</v>
      </c>
      <c r="CB184">
        <f t="shared" si="278"/>
        <v>73.999999999999986</v>
      </c>
      <c r="CD184" s="580">
        <f t="shared" si="310"/>
        <v>-50</v>
      </c>
      <c r="CE184">
        <f t="shared" si="311"/>
        <v>-50</v>
      </c>
    </row>
    <row r="185" spans="5:83" x14ac:dyDescent="0.2">
      <c r="E185" s="175">
        <v>75</v>
      </c>
      <c r="F185" s="222">
        <f t="shared" si="312"/>
        <v>0.30000000000000004</v>
      </c>
      <c r="G185" s="222">
        <f t="shared" si="279"/>
        <v>0.15000000000000002</v>
      </c>
      <c r="H185" s="222">
        <f t="shared" si="280"/>
        <v>3.6000000000000005</v>
      </c>
      <c r="I185" s="222">
        <f t="shared" si="281"/>
        <v>1.8000000000000003</v>
      </c>
      <c r="J185" s="558">
        <f t="shared" si="282"/>
        <v>21.6</v>
      </c>
      <c r="K185" s="453">
        <f t="shared" si="283"/>
        <v>24.5</v>
      </c>
      <c r="L185" s="453">
        <f t="shared" si="284"/>
        <v>46.1</v>
      </c>
      <c r="M185" s="453"/>
      <c r="N185" s="222">
        <f t="shared" si="285"/>
        <v>0.53145336225596529</v>
      </c>
      <c r="O185" s="177">
        <f t="shared" si="286"/>
        <v>5.2709544468546632</v>
      </c>
      <c r="P185" s="177">
        <f t="shared" si="287"/>
        <v>3.9532158351409978</v>
      </c>
      <c r="Q185" s="222">
        <f t="shared" si="288"/>
        <v>0.43924620390455527</v>
      </c>
      <c r="R185" s="222">
        <f t="shared" si="289"/>
        <v>0.43924620390455527</v>
      </c>
      <c r="S185" s="222">
        <f t="shared" si="290"/>
        <v>12</v>
      </c>
      <c r="T185" s="222">
        <f t="shared" si="291"/>
        <v>0.99033297529538133</v>
      </c>
      <c r="U185" s="222">
        <f t="shared" si="292"/>
        <v>3.8512949039264828</v>
      </c>
      <c r="V185" s="222">
        <f t="shared" si="293"/>
        <v>3.395427343869879</v>
      </c>
      <c r="W185" s="202">
        <f t="shared" si="294"/>
        <v>350</v>
      </c>
      <c r="X185" s="453">
        <f t="shared" si="295"/>
        <v>137.99342182654891</v>
      </c>
      <c r="Z185" s="222">
        <f t="shared" si="296"/>
        <v>0.39045553145336231</v>
      </c>
      <c r="AA185" s="178">
        <f t="shared" si="297"/>
        <v>1.3387046792686708</v>
      </c>
      <c r="AB185" s="178">
        <f t="shared" si="298"/>
        <v>0.12196441763402208</v>
      </c>
      <c r="AC185" s="178"/>
      <c r="AD185" s="178">
        <f t="shared" si="299"/>
        <v>0.99428571428571422</v>
      </c>
      <c r="AE185" s="562">
        <f t="shared" si="300"/>
        <v>1040.4280618311539</v>
      </c>
      <c r="AF185" s="545">
        <f t="shared" si="301"/>
        <v>0.10091999999999998</v>
      </c>
      <c r="AH185" s="178">
        <f t="shared" si="302"/>
        <v>0.60609152673132649</v>
      </c>
      <c r="AI185" s="178">
        <f t="shared" si="303"/>
        <v>0.99033297529538133</v>
      </c>
      <c r="AJ185" s="178">
        <f t="shared" si="304"/>
        <v>1.7187651668854675</v>
      </c>
      <c r="AL185" s="562">
        <f t="shared" si="305"/>
        <v>300.00000000000006</v>
      </c>
      <c r="AM185" s="471">
        <f t="shared" si="306"/>
        <v>137.99342182654891</v>
      </c>
      <c r="AO185">
        <f t="shared" si="307"/>
        <v>300.00000000000006</v>
      </c>
      <c r="AP185">
        <f t="shared" si="308"/>
        <v>137.99342182654891</v>
      </c>
      <c r="AR185" s="5">
        <f t="shared" si="233"/>
        <v>7.2467222477963613</v>
      </c>
      <c r="AS185" s="5">
        <f t="shared" si="313"/>
        <v>3.8512949039264828</v>
      </c>
      <c r="AT185" s="5">
        <f t="shared" si="314"/>
        <v>3.3954273438698785</v>
      </c>
      <c r="AU185" s="178">
        <f t="shared" si="315"/>
        <v>0.53145336225596529</v>
      </c>
      <c r="AW185" s="5">
        <f t="shared" si="254"/>
        <v>9.628237259816208</v>
      </c>
      <c r="AX185" s="5">
        <f t="shared" si="255"/>
        <v>4.814118629908104</v>
      </c>
      <c r="AY185" s="5">
        <f t="shared" si="256"/>
        <v>0.49640750641372489</v>
      </c>
      <c r="AZ185" s="5"/>
      <c r="BA185" s="178">
        <f t="shared" si="257"/>
        <v>0.41682445615007258</v>
      </c>
      <c r="BB185" s="178">
        <f t="shared" si="258"/>
        <v>0.78275711023960348</v>
      </c>
      <c r="BC185" s="178">
        <f t="shared" si="259"/>
        <v>0.39137855511980174</v>
      </c>
      <c r="BD185" s="178"/>
      <c r="BE185" s="545">
        <f t="shared" si="260"/>
        <v>6.0809919535681316E-2</v>
      </c>
      <c r="BF185" s="545">
        <f t="shared" si="261"/>
        <v>4.7249999999999993E-2</v>
      </c>
      <c r="BG185" s="545">
        <f t="shared" si="262"/>
        <v>1.7249177728318613E-3</v>
      </c>
      <c r="BH185" s="545">
        <f t="shared" si="263"/>
        <v>1.4663250000000001E-2</v>
      </c>
      <c r="BI185">
        <f t="shared" si="264"/>
        <v>6.2640000000000005E-3</v>
      </c>
      <c r="BK185" s="471">
        <f t="shared" si="265"/>
        <v>130.71208730851316</v>
      </c>
      <c r="BL185" s="178">
        <f t="shared" si="266"/>
        <v>9.0000000000000011E-2</v>
      </c>
      <c r="BM185" s="178">
        <f t="shared" si="267"/>
        <v>4.5000000000000005E-2</v>
      </c>
      <c r="BN185" s="545"/>
      <c r="BP185" s="471">
        <f t="shared" si="268"/>
        <v>135</v>
      </c>
      <c r="BQ185" s="545">
        <f t="shared" si="269"/>
        <v>1.6505549588256358E-2</v>
      </c>
      <c r="BR185" s="545">
        <f t="shared" si="270"/>
        <v>5.5143782426758922E-2</v>
      </c>
      <c r="BS185" s="545">
        <f t="shared" si="271"/>
        <v>1.5317717340766368E-2</v>
      </c>
      <c r="BT185" s="545">
        <f t="shared" si="272"/>
        <v>1.0916139186003943E-2</v>
      </c>
      <c r="BU185" s="545"/>
      <c r="BV185" s="655">
        <f t="shared" si="309"/>
        <v>3.0451127819548882E-2</v>
      </c>
      <c r="BW185" s="471">
        <f t="shared" si="273"/>
        <v>128.33431636133446</v>
      </c>
      <c r="BX185" s="178">
        <f t="shared" si="274"/>
        <v>0.39404640366984761</v>
      </c>
      <c r="BY185" s="5">
        <f t="shared" si="275"/>
        <v>5.4</v>
      </c>
      <c r="BZ185" s="178">
        <f t="shared" si="276"/>
        <v>0.9319911550207356</v>
      </c>
      <c r="CA185" s="5">
        <f t="shared" si="277"/>
        <v>93.199115502073553</v>
      </c>
      <c r="CB185">
        <f t="shared" si="278"/>
        <v>75.000000000000014</v>
      </c>
      <c r="CD185" s="580">
        <f t="shared" si="310"/>
        <v>-50</v>
      </c>
      <c r="CE185">
        <f t="shared" si="311"/>
        <v>-50</v>
      </c>
    </row>
    <row r="186" spans="5:83" x14ac:dyDescent="0.2">
      <c r="E186" s="175">
        <v>76</v>
      </c>
      <c r="F186" s="222">
        <f t="shared" si="312"/>
        <v>0.30400000000000005</v>
      </c>
      <c r="G186" s="222">
        <f t="shared" si="279"/>
        <v>0.15200000000000002</v>
      </c>
      <c r="H186" s="222">
        <f t="shared" si="280"/>
        <v>3.6480000000000006</v>
      </c>
      <c r="I186" s="222">
        <f t="shared" si="281"/>
        <v>1.8240000000000003</v>
      </c>
      <c r="J186" s="558">
        <f t="shared" si="282"/>
        <v>21.6</v>
      </c>
      <c r="K186" s="453">
        <f t="shared" si="283"/>
        <v>24.5</v>
      </c>
      <c r="L186" s="453">
        <f t="shared" si="284"/>
        <v>46.1</v>
      </c>
      <c r="M186" s="453"/>
      <c r="N186" s="222">
        <f t="shared" si="285"/>
        <v>0.53145336225596529</v>
      </c>
      <c r="O186" s="177">
        <f t="shared" si="286"/>
        <v>5.2709544468546632</v>
      </c>
      <c r="P186" s="177">
        <f t="shared" si="287"/>
        <v>3.9532158351409978</v>
      </c>
      <c r="Q186" s="222">
        <f t="shared" si="288"/>
        <v>0.43924620390455527</v>
      </c>
      <c r="R186" s="222">
        <f t="shared" si="289"/>
        <v>0.43924620390455527</v>
      </c>
      <c r="S186" s="222">
        <f t="shared" si="290"/>
        <v>12</v>
      </c>
      <c r="T186" s="222">
        <f t="shared" si="291"/>
        <v>1.0035374149659866</v>
      </c>
      <c r="U186" s="222">
        <f t="shared" si="292"/>
        <v>3.9026455026455031</v>
      </c>
      <c r="V186" s="222">
        <f t="shared" si="293"/>
        <v>3.4406997084548112</v>
      </c>
      <c r="W186" s="202">
        <f t="shared" si="294"/>
        <v>350</v>
      </c>
      <c r="X186" s="453">
        <f t="shared" si="295"/>
        <v>136.17771890777848</v>
      </c>
      <c r="Z186" s="222">
        <f t="shared" si="296"/>
        <v>0.39045553145336231</v>
      </c>
      <c r="AA186" s="178">
        <f t="shared" si="297"/>
        <v>1.3387046792686708</v>
      </c>
      <c r="AB186" s="178">
        <f t="shared" si="298"/>
        <v>0.12196441763402208</v>
      </c>
      <c r="AC186" s="178"/>
      <c r="AD186" s="178">
        <f t="shared" si="299"/>
        <v>0.99428571428571422</v>
      </c>
      <c r="AE186" s="562">
        <f t="shared" si="300"/>
        <v>1054.3004359889026</v>
      </c>
      <c r="AF186" s="545">
        <f t="shared" si="301"/>
        <v>0.10091999999999998</v>
      </c>
      <c r="AH186" s="178">
        <f t="shared" si="302"/>
        <v>0.61011875725893217</v>
      </c>
      <c r="AI186" s="178">
        <f t="shared" si="303"/>
        <v>1.0035374149659866</v>
      </c>
      <c r="AJ186" s="178">
        <f t="shared" si="304"/>
        <v>1.7285462333081383</v>
      </c>
      <c r="AL186" s="562">
        <f t="shared" si="305"/>
        <v>304.00000000000006</v>
      </c>
      <c r="AM186" s="471">
        <f t="shared" si="306"/>
        <v>136.17771890777848</v>
      </c>
      <c r="AO186">
        <f t="shared" si="307"/>
        <v>304.00000000000006</v>
      </c>
      <c r="AP186">
        <f t="shared" si="308"/>
        <v>136.17771890777848</v>
      </c>
      <c r="AR186" s="5">
        <f t="shared" si="233"/>
        <v>7.3433452111003152</v>
      </c>
      <c r="AS186" s="5">
        <f t="shared" si="313"/>
        <v>3.9026455026455031</v>
      </c>
      <c r="AT186" s="5">
        <f t="shared" si="314"/>
        <v>3.4406997084548121</v>
      </c>
      <c r="AU186" s="178">
        <f t="shared" si="315"/>
        <v>0.53145336225596518</v>
      </c>
      <c r="AW186" s="5">
        <f t="shared" si="254"/>
        <v>9.8867019400352767</v>
      </c>
      <c r="AX186" s="5">
        <f t="shared" si="255"/>
        <v>4.9433509700176383</v>
      </c>
      <c r="AY186" s="5">
        <f t="shared" si="256"/>
        <v>0.50973329014145363</v>
      </c>
      <c r="AZ186" s="5"/>
      <c r="BA186" s="178">
        <f t="shared" si="257"/>
        <v>0.42238211556540689</v>
      </c>
      <c r="BB186" s="178">
        <f t="shared" si="258"/>
        <v>0.79319387170946509</v>
      </c>
      <c r="BC186" s="178">
        <f t="shared" si="259"/>
        <v>0.39659693585473255</v>
      </c>
      <c r="BD186" s="178"/>
      <c r="BE186" s="545">
        <f t="shared" si="260"/>
        <v>6.2442328042328056E-2</v>
      </c>
      <c r="BF186" s="545">
        <f t="shared" si="261"/>
        <v>4.7249999999999986E-2</v>
      </c>
      <c r="BG186" s="545">
        <f t="shared" si="262"/>
        <v>1.702221486347231E-3</v>
      </c>
      <c r="BH186" s="545">
        <f t="shared" si="263"/>
        <v>1.4470312499999995E-2</v>
      </c>
      <c r="BI186">
        <f t="shared" si="264"/>
        <v>6.2640000000000005E-3</v>
      </c>
      <c r="BK186" s="471">
        <f t="shared" si="265"/>
        <v>132.12886202867523</v>
      </c>
      <c r="BL186" s="178">
        <f t="shared" si="266"/>
        <v>9.1200000000000017E-2</v>
      </c>
      <c r="BM186" s="178">
        <f t="shared" si="267"/>
        <v>4.5600000000000009E-2</v>
      </c>
      <c r="BN186" s="545"/>
      <c r="BP186" s="471">
        <f t="shared" si="268"/>
        <v>136.80000000000004</v>
      </c>
      <c r="BQ186" s="545">
        <f t="shared" si="269"/>
        <v>1.6948631897203331E-2</v>
      </c>
      <c r="BR186" s="545">
        <f t="shared" si="270"/>
        <v>5.6624086630570614E-2</v>
      </c>
      <c r="BS186" s="545">
        <f t="shared" si="271"/>
        <v>1.5728912952936283E-2</v>
      </c>
      <c r="BT186" s="545">
        <f t="shared" si="272"/>
        <v>1.0916139186003952E-2</v>
      </c>
      <c r="BU186" s="545"/>
      <c r="BV186" s="655">
        <f t="shared" si="309"/>
        <v>3.0857142857142864E-2</v>
      </c>
      <c r="BW186" s="471">
        <f t="shared" si="273"/>
        <v>131.07491352385705</v>
      </c>
      <c r="BX186" s="178">
        <f t="shared" si="274"/>
        <v>0.40000377555253225</v>
      </c>
      <c r="BY186" s="5">
        <f t="shared" si="275"/>
        <v>5.4720000000000013</v>
      </c>
      <c r="BZ186" s="178">
        <f t="shared" si="276"/>
        <v>0.93187950981606893</v>
      </c>
      <c r="CA186" s="5">
        <f t="shared" si="277"/>
        <v>93.187950981606889</v>
      </c>
      <c r="CB186">
        <f t="shared" si="278"/>
        <v>76.000000000000014</v>
      </c>
      <c r="CD186" s="580">
        <f t="shared" si="310"/>
        <v>-50</v>
      </c>
      <c r="CE186">
        <f t="shared" si="311"/>
        <v>-50</v>
      </c>
    </row>
    <row r="187" spans="5:83" x14ac:dyDescent="0.2">
      <c r="E187" s="175">
        <v>77</v>
      </c>
      <c r="F187" s="222">
        <f t="shared" si="312"/>
        <v>0.30800000000000005</v>
      </c>
      <c r="G187" s="222">
        <f t="shared" si="279"/>
        <v>0.15400000000000003</v>
      </c>
      <c r="H187" s="222">
        <f t="shared" si="280"/>
        <v>3.6960000000000006</v>
      </c>
      <c r="I187" s="222">
        <f t="shared" si="281"/>
        <v>1.8480000000000003</v>
      </c>
      <c r="J187" s="558">
        <f t="shared" si="282"/>
        <v>21.6</v>
      </c>
      <c r="K187" s="453">
        <f t="shared" si="283"/>
        <v>24.5</v>
      </c>
      <c r="L187" s="453">
        <f t="shared" si="284"/>
        <v>46.1</v>
      </c>
      <c r="M187" s="453"/>
      <c r="N187" s="222">
        <f t="shared" si="285"/>
        <v>0.53145336225596529</v>
      </c>
      <c r="O187" s="177">
        <f t="shared" si="286"/>
        <v>5.2709544468546632</v>
      </c>
      <c r="P187" s="177">
        <f t="shared" si="287"/>
        <v>3.9532158351409978</v>
      </c>
      <c r="Q187" s="222">
        <f t="shared" si="288"/>
        <v>0.43924620390455527</v>
      </c>
      <c r="R187" s="222">
        <f t="shared" si="289"/>
        <v>0.43924620390455527</v>
      </c>
      <c r="S187" s="222">
        <f t="shared" si="290"/>
        <v>12</v>
      </c>
      <c r="T187" s="222">
        <f t="shared" si="291"/>
        <v>1.0167418546365916</v>
      </c>
      <c r="U187" s="222">
        <f t="shared" si="292"/>
        <v>3.9539961013645222</v>
      </c>
      <c r="V187" s="222">
        <f t="shared" si="293"/>
        <v>3.4859720730397425</v>
      </c>
      <c r="W187" s="202">
        <f t="shared" si="294"/>
        <v>350</v>
      </c>
      <c r="X187" s="453">
        <f t="shared" si="295"/>
        <v>134.40917710378139</v>
      </c>
      <c r="Z187" s="222">
        <f t="shared" si="296"/>
        <v>0.39045553145336231</v>
      </c>
      <c r="AA187" s="178">
        <f t="shared" si="297"/>
        <v>1.3387046792686708</v>
      </c>
      <c r="AB187" s="178">
        <f t="shared" si="298"/>
        <v>0.12196441763402208</v>
      </c>
      <c r="AC187" s="178"/>
      <c r="AD187" s="178">
        <f t="shared" si="299"/>
        <v>0.99428571428571422</v>
      </c>
      <c r="AE187" s="562">
        <f t="shared" si="300"/>
        <v>1068.1728101466513</v>
      </c>
      <c r="AF187" s="545">
        <f t="shared" si="301"/>
        <v>0.10091999999999998</v>
      </c>
      <c r="AH187" s="178">
        <f t="shared" si="302"/>
        <v>0.61411957886299084</v>
      </c>
      <c r="AI187" s="178">
        <f t="shared" si="303"/>
        <v>1.0167418546365916</v>
      </c>
      <c r="AJ187" s="178">
        <f t="shared" si="304"/>
        <v>1.7383272997308086</v>
      </c>
      <c r="AL187" s="562">
        <f t="shared" si="305"/>
        <v>308.00000000000006</v>
      </c>
      <c r="AM187" s="471">
        <f t="shared" si="306"/>
        <v>134.40917710378139</v>
      </c>
      <c r="AO187">
        <f t="shared" si="307"/>
        <v>308.00000000000006</v>
      </c>
      <c r="AP187">
        <f t="shared" si="308"/>
        <v>134.40917710378139</v>
      </c>
      <c r="AR187" s="5">
        <f t="shared" si="233"/>
        <v>7.4399681744042656</v>
      </c>
      <c r="AS187" s="5">
        <f t="shared" si="313"/>
        <v>3.9539961013645222</v>
      </c>
      <c r="AT187" s="5">
        <f t="shared" si="314"/>
        <v>3.4859720730397434</v>
      </c>
      <c r="AU187" s="178">
        <f t="shared" si="315"/>
        <v>0.53145336225596518</v>
      </c>
      <c r="AW187" s="5">
        <f t="shared" si="254"/>
        <v>10.148589993502275</v>
      </c>
      <c r="AX187" s="5">
        <f t="shared" si="255"/>
        <v>5.0742949967511377</v>
      </c>
      <c r="AY187" s="5">
        <f t="shared" si="256"/>
        <v>0.52323557431590695</v>
      </c>
      <c r="AZ187" s="5"/>
      <c r="BA187" s="178">
        <f t="shared" si="257"/>
        <v>0.42793977498074115</v>
      </c>
      <c r="BB187" s="178">
        <f t="shared" si="258"/>
        <v>0.80363063317932648</v>
      </c>
      <c r="BC187" s="178">
        <f t="shared" si="259"/>
        <v>0.40181531658966324</v>
      </c>
      <c r="BD187" s="178"/>
      <c r="BE187" s="545">
        <f t="shared" si="260"/>
        <v>6.4096357853698577E-2</v>
      </c>
      <c r="BF187" s="545">
        <f t="shared" si="261"/>
        <v>4.7249999999999993E-2</v>
      </c>
      <c r="BG187" s="545">
        <f t="shared" si="262"/>
        <v>1.6801147137972673E-3</v>
      </c>
      <c r="BH187" s="545">
        <f t="shared" si="263"/>
        <v>1.4282386363636363E-2</v>
      </c>
      <c r="BI187">
        <f t="shared" si="264"/>
        <v>6.2640000000000005E-3</v>
      </c>
      <c r="BK187" s="471">
        <f t="shared" si="265"/>
        <v>133.57285893113217</v>
      </c>
      <c r="BL187" s="178">
        <f t="shared" si="266"/>
        <v>9.240000000000001E-2</v>
      </c>
      <c r="BM187" s="178">
        <f t="shared" si="267"/>
        <v>4.6200000000000005E-2</v>
      </c>
      <c r="BN187" s="545"/>
      <c r="BP187" s="471">
        <f t="shared" si="268"/>
        <v>138.6</v>
      </c>
      <c r="BQ187" s="545">
        <f t="shared" si="269"/>
        <v>1.7397582846003901E-2</v>
      </c>
      <c r="BR187" s="545">
        <f t="shared" si="270"/>
        <v>5.8123997512578462E-2</v>
      </c>
      <c r="BS187" s="545">
        <f t="shared" si="271"/>
        <v>1.614555486460513E-2</v>
      </c>
      <c r="BT187" s="545">
        <f t="shared" si="272"/>
        <v>1.0916139186003931E-2</v>
      </c>
      <c r="BU187" s="545"/>
      <c r="BV187" s="655">
        <f t="shared" si="309"/>
        <v>3.1263157894736847E-2</v>
      </c>
      <c r="BW187" s="471">
        <f t="shared" si="273"/>
        <v>133.84643230392825</v>
      </c>
      <c r="BX187" s="178">
        <f t="shared" si="274"/>
        <v>0.40601929123506042</v>
      </c>
      <c r="BY187" s="5">
        <f t="shared" si="275"/>
        <v>5.5440000000000005</v>
      </c>
      <c r="BZ187" s="178">
        <f t="shared" si="276"/>
        <v>0.93176168490190181</v>
      </c>
      <c r="CA187" s="5">
        <f t="shared" si="277"/>
        <v>93.176168490190179</v>
      </c>
      <c r="CB187">
        <f t="shared" si="278"/>
        <v>77.000000000000014</v>
      </c>
      <c r="CD187" s="580">
        <f t="shared" si="310"/>
        <v>-50</v>
      </c>
      <c r="CE187">
        <f t="shared" si="311"/>
        <v>-50</v>
      </c>
    </row>
    <row r="188" spans="5:83" x14ac:dyDescent="0.2">
      <c r="E188" s="175">
        <v>78</v>
      </c>
      <c r="F188" s="222">
        <f t="shared" si="312"/>
        <v>0.31200000000000006</v>
      </c>
      <c r="G188" s="222">
        <f t="shared" si="279"/>
        <v>0.15600000000000003</v>
      </c>
      <c r="H188" s="222">
        <f t="shared" si="280"/>
        <v>3.7440000000000007</v>
      </c>
      <c r="I188" s="222">
        <f t="shared" si="281"/>
        <v>1.8720000000000003</v>
      </c>
      <c r="J188" s="558">
        <f t="shared" si="282"/>
        <v>21.6</v>
      </c>
      <c r="K188" s="453">
        <f t="shared" si="283"/>
        <v>24.5</v>
      </c>
      <c r="L188" s="453">
        <f t="shared" si="284"/>
        <v>46.1</v>
      </c>
      <c r="M188" s="453"/>
      <c r="N188" s="222">
        <f t="shared" si="285"/>
        <v>0.53145336225596529</v>
      </c>
      <c r="O188" s="177">
        <f t="shared" si="286"/>
        <v>5.2709544468546632</v>
      </c>
      <c r="P188" s="177">
        <f t="shared" si="287"/>
        <v>3.9532158351409978</v>
      </c>
      <c r="Q188" s="222">
        <f t="shared" si="288"/>
        <v>0.43924620390455527</v>
      </c>
      <c r="R188" s="222">
        <f t="shared" si="289"/>
        <v>0.43924620390455527</v>
      </c>
      <c r="S188" s="222">
        <f t="shared" si="290"/>
        <v>12</v>
      </c>
      <c r="T188" s="222">
        <f t="shared" si="291"/>
        <v>1.0299462943071969</v>
      </c>
      <c r="U188" s="222">
        <f t="shared" si="292"/>
        <v>4.0053467000835425</v>
      </c>
      <c r="V188" s="222">
        <f t="shared" si="293"/>
        <v>3.5312444376246748</v>
      </c>
      <c r="W188" s="202">
        <f t="shared" si="294"/>
        <v>350</v>
      </c>
      <c r="X188" s="453">
        <f t="shared" si="295"/>
        <v>132.68598252552778</v>
      </c>
      <c r="Z188" s="222">
        <f t="shared" si="296"/>
        <v>0.39045553145336231</v>
      </c>
      <c r="AA188" s="178">
        <f t="shared" si="297"/>
        <v>1.3387046792686708</v>
      </c>
      <c r="AB188" s="178">
        <f t="shared" si="298"/>
        <v>0.12196441763402208</v>
      </c>
      <c r="AC188" s="178"/>
      <c r="AD188" s="178">
        <f t="shared" si="299"/>
        <v>0.99428571428571422</v>
      </c>
      <c r="AE188" s="562">
        <f t="shared" si="300"/>
        <v>1082.0451843044</v>
      </c>
      <c r="AF188" s="545">
        <f t="shared" si="301"/>
        <v>0.10091999999999998</v>
      </c>
      <c r="AH188" s="178">
        <f t="shared" si="302"/>
        <v>0.61809450436525537</v>
      </c>
      <c r="AI188" s="178">
        <f t="shared" si="303"/>
        <v>1.0299462943071969</v>
      </c>
      <c r="AJ188" s="178">
        <f t="shared" si="304"/>
        <v>1.7481083661534791</v>
      </c>
      <c r="AL188" s="562">
        <f t="shared" si="305"/>
        <v>312.00000000000006</v>
      </c>
      <c r="AM188" s="471">
        <f t="shared" si="306"/>
        <v>132.68598252552778</v>
      </c>
      <c r="AO188">
        <f t="shared" si="307"/>
        <v>312.00000000000006</v>
      </c>
      <c r="AP188">
        <f t="shared" si="308"/>
        <v>132.68598252552778</v>
      </c>
      <c r="AR188" s="5">
        <f t="shared" si="233"/>
        <v>7.5365911377082169</v>
      </c>
      <c r="AS188" s="5">
        <f t="shared" si="313"/>
        <v>4.0053467000835425</v>
      </c>
      <c r="AT188" s="5">
        <f t="shared" si="314"/>
        <v>3.5312444376246743</v>
      </c>
      <c r="AU188" s="178">
        <f t="shared" si="315"/>
        <v>0.53145336225596529</v>
      </c>
      <c r="AW188" s="5">
        <f t="shared" si="254"/>
        <v>10.413901420217213</v>
      </c>
      <c r="AX188" s="5">
        <f t="shared" si="255"/>
        <v>5.2069507101086066</v>
      </c>
      <c r="AY188" s="5">
        <f t="shared" si="256"/>
        <v>0.53691435893708495</v>
      </c>
      <c r="AZ188" s="5"/>
      <c r="BA188" s="178">
        <f t="shared" si="257"/>
        <v>0.43349743439607558</v>
      </c>
      <c r="BB188" s="178">
        <f t="shared" si="258"/>
        <v>0.81406739464918787</v>
      </c>
      <c r="BC188" s="178">
        <f t="shared" si="259"/>
        <v>0.40703369732459393</v>
      </c>
      <c r="BD188" s="178"/>
      <c r="BE188" s="545">
        <f t="shared" si="260"/>
        <v>6.5772008969792947E-2</v>
      </c>
      <c r="BF188" s="545">
        <f t="shared" si="261"/>
        <v>4.725E-2</v>
      </c>
      <c r="BG188" s="545">
        <f t="shared" si="262"/>
        <v>1.6585747815690971E-3</v>
      </c>
      <c r="BH188" s="545">
        <f t="shared" si="263"/>
        <v>1.4099278846153845E-2</v>
      </c>
      <c r="BI188">
        <f t="shared" si="264"/>
        <v>6.2640000000000005E-3</v>
      </c>
      <c r="BK188" s="471">
        <f t="shared" si="265"/>
        <v>135.0438625975159</v>
      </c>
      <c r="BL188" s="178">
        <f t="shared" si="266"/>
        <v>9.3600000000000017E-2</v>
      </c>
      <c r="BM188" s="178">
        <f t="shared" si="267"/>
        <v>4.6800000000000008E-2</v>
      </c>
      <c r="BN188" s="545"/>
      <c r="BP188" s="471">
        <f t="shared" si="268"/>
        <v>140.40000000000003</v>
      </c>
      <c r="BQ188" s="545">
        <f t="shared" si="269"/>
        <v>1.7852402434658087E-2</v>
      </c>
      <c r="BR188" s="545">
        <f t="shared" si="270"/>
        <v>5.9643515072782489E-2</v>
      </c>
      <c r="BS188" s="545">
        <f t="shared" si="271"/>
        <v>1.6567643075772916E-2</v>
      </c>
      <c r="BT188" s="545">
        <f t="shared" si="272"/>
        <v>1.0916139186003948E-2</v>
      </c>
      <c r="BU188" s="545"/>
      <c r="BV188" s="655">
        <f t="shared" si="309"/>
        <v>3.1669172932330847E-2</v>
      </c>
      <c r="BW188" s="471">
        <f t="shared" si="273"/>
        <v>136.6488727015483</v>
      </c>
      <c r="BX188" s="178">
        <f t="shared" si="274"/>
        <v>0.41209273529906415</v>
      </c>
      <c r="BY188" s="5">
        <f t="shared" si="275"/>
        <v>5.6160000000000014</v>
      </c>
      <c r="BZ188" s="178">
        <f t="shared" si="276"/>
        <v>0.93163795691364404</v>
      </c>
      <c r="CA188" s="5">
        <f t="shared" si="277"/>
        <v>93.163795691364399</v>
      </c>
      <c r="CB188">
        <f t="shared" si="278"/>
        <v>78.000000000000014</v>
      </c>
      <c r="CD188" s="580">
        <f t="shared" si="310"/>
        <v>-50</v>
      </c>
      <c r="CE188">
        <f t="shared" si="311"/>
        <v>-50</v>
      </c>
    </row>
    <row r="189" spans="5:83" x14ac:dyDescent="0.2">
      <c r="E189" s="175">
        <v>79</v>
      </c>
      <c r="F189" s="222">
        <f t="shared" si="312"/>
        <v>0.31600000000000006</v>
      </c>
      <c r="G189" s="222">
        <f t="shared" si="279"/>
        <v>0.15800000000000003</v>
      </c>
      <c r="H189" s="222">
        <f t="shared" si="280"/>
        <v>3.7920000000000007</v>
      </c>
      <c r="I189" s="222">
        <f t="shared" si="281"/>
        <v>1.8960000000000004</v>
      </c>
      <c r="J189" s="558">
        <f t="shared" si="282"/>
        <v>21.6</v>
      </c>
      <c r="K189" s="453">
        <f t="shared" si="283"/>
        <v>24.5</v>
      </c>
      <c r="L189" s="453">
        <f t="shared" si="284"/>
        <v>46.1</v>
      </c>
      <c r="M189" s="453"/>
      <c r="N189" s="222">
        <f t="shared" si="285"/>
        <v>0.53145336225596529</v>
      </c>
      <c r="O189" s="177">
        <f t="shared" si="286"/>
        <v>5.2709544468546632</v>
      </c>
      <c r="P189" s="177">
        <f t="shared" si="287"/>
        <v>3.9532158351409978</v>
      </c>
      <c r="Q189" s="222">
        <f t="shared" si="288"/>
        <v>0.43924620390455527</v>
      </c>
      <c r="R189" s="222">
        <f t="shared" si="289"/>
        <v>0.43924620390455527</v>
      </c>
      <c r="S189" s="222">
        <f t="shared" si="290"/>
        <v>12</v>
      </c>
      <c r="T189" s="222">
        <f t="shared" si="291"/>
        <v>1.0431507339778017</v>
      </c>
      <c r="U189" s="222">
        <f t="shared" si="292"/>
        <v>4.0566972988025611</v>
      </c>
      <c r="V189" s="222">
        <f t="shared" si="293"/>
        <v>3.5765168022096052</v>
      </c>
      <c r="W189" s="202">
        <f t="shared" si="294"/>
        <v>350</v>
      </c>
      <c r="X189" s="453">
        <f t="shared" si="295"/>
        <v>131.00641312647048</v>
      </c>
      <c r="Z189" s="222">
        <f t="shared" si="296"/>
        <v>0.39045553145336231</v>
      </c>
      <c r="AA189" s="178">
        <f t="shared" si="297"/>
        <v>1.3387046792686708</v>
      </c>
      <c r="AB189" s="178">
        <f t="shared" si="298"/>
        <v>0.12196441763402208</v>
      </c>
      <c r="AC189" s="178"/>
      <c r="AD189" s="178">
        <f t="shared" si="299"/>
        <v>0.99428571428571422</v>
      </c>
      <c r="AE189" s="562">
        <f t="shared" si="300"/>
        <v>1095.9175584621487</v>
      </c>
      <c r="AF189" s="545">
        <f t="shared" si="301"/>
        <v>0.10091999999999998</v>
      </c>
      <c r="AH189" s="178">
        <f t="shared" si="302"/>
        <v>0.622044030202207</v>
      </c>
      <c r="AI189" s="178">
        <f t="shared" si="303"/>
        <v>1.0431507339778017</v>
      </c>
      <c r="AJ189" s="178">
        <f t="shared" si="304"/>
        <v>1.7578894325761492</v>
      </c>
      <c r="AL189" s="562">
        <f t="shared" si="305"/>
        <v>316.00000000000006</v>
      </c>
      <c r="AM189" s="471">
        <f t="shared" si="306"/>
        <v>131.00641312647048</v>
      </c>
      <c r="AO189">
        <f t="shared" si="307"/>
        <v>316.00000000000006</v>
      </c>
      <c r="AP189">
        <f t="shared" si="308"/>
        <v>131.00641312647048</v>
      </c>
      <c r="AR189" s="5">
        <f t="shared" si="233"/>
        <v>7.6332141010121672</v>
      </c>
      <c r="AS189" s="5">
        <f t="shared" si="313"/>
        <v>4.0566972988025611</v>
      </c>
      <c r="AT189" s="5">
        <f t="shared" si="314"/>
        <v>3.5765168022096061</v>
      </c>
      <c r="AU189" s="178">
        <f t="shared" si="315"/>
        <v>0.53145336225596518</v>
      </c>
      <c r="AW189" s="5">
        <f t="shared" si="254"/>
        <v>10.682636220180079</v>
      </c>
      <c r="AX189" s="5">
        <f t="shared" si="255"/>
        <v>5.3413181100900395</v>
      </c>
      <c r="AY189" s="5">
        <f t="shared" si="256"/>
        <v>0.55076964400498807</v>
      </c>
      <c r="AZ189" s="5"/>
      <c r="BA189" s="178">
        <f t="shared" si="257"/>
        <v>0.43905509381140972</v>
      </c>
      <c r="BB189" s="178">
        <f t="shared" si="258"/>
        <v>0.82450415611904915</v>
      </c>
      <c r="BC189" s="178">
        <f t="shared" si="259"/>
        <v>0.41225207805952457</v>
      </c>
      <c r="BD189" s="178"/>
      <c r="BE189" s="545">
        <f t="shared" si="260"/>
        <v>6.7469281390611022E-2</v>
      </c>
      <c r="BF189" s="545">
        <f t="shared" si="261"/>
        <v>4.725E-2</v>
      </c>
      <c r="BG189" s="545">
        <f t="shared" si="262"/>
        <v>1.6375801640808809E-3</v>
      </c>
      <c r="BH189" s="545">
        <f t="shared" si="263"/>
        <v>1.3920806962025316E-2</v>
      </c>
      <c r="BI189">
        <f t="shared" si="264"/>
        <v>6.2640000000000005E-3</v>
      </c>
      <c r="BK189" s="471">
        <f t="shared" si="265"/>
        <v>136.54166851671724</v>
      </c>
      <c r="BL189" s="178">
        <f t="shared" si="266"/>
        <v>9.4800000000000009E-2</v>
      </c>
      <c r="BM189" s="178">
        <f t="shared" si="267"/>
        <v>4.7400000000000005E-2</v>
      </c>
      <c r="BN189" s="545"/>
      <c r="BP189" s="471">
        <f t="shared" si="268"/>
        <v>142.20000000000002</v>
      </c>
      <c r="BQ189" s="545">
        <f t="shared" si="269"/>
        <v>1.8313090663165849E-2</v>
      </c>
      <c r="BR189" s="545">
        <f t="shared" si="270"/>
        <v>6.1182639311182674E-2</v>
      </c>
      <c r="BS189" s="545">
        <f t="shared" si="271"/>
        <v>1.6995177586439633E-2</v>
      </c>
      <c r="BT189" s="545">
        <f t="shared" si="272"/>
        <v>1.091613918600395E-2</v>
      </c>
      <c r="BU189" s="545"/>
      <c r="BV189" s="655">
        <f t="shared" si="309"/>
        <v>3.2075187969924819E-2</v>
      </c>
      <c r="BW189" s="471">
        <f t="shared" si="273"/>
        <v>139.48223471671693</v>
      </c>
      <c r="BX189" s="178">
        <f t="shared" si="274"/>
        <v>0.41822390323343411</v>
      </c>
      <c r="BY189" s="5">
        <f t="shared" si="275"/>
        <v>5.6880000000000006</v>
      </c>
      <c r="BZ189" s="178">
        <f t="shared" si="276"/>
        <v>0.93150858699891903</v>
      </c>
      <c r="CA189" s="5">
        <f t="shared" si="277"/>
        <v>93.150858699891899</v>
      </c>
      <c r="CB189">
        <f t="shared" si="278"/>
        <v>79.000000000000014</v>
      </c>
      <c r="CD189" s="580">
        <f t="shared" si="310"/>
        <v>-50</v>
      </c>
      <c r="CE189">
        <f t="shared" si="311"/>
        <v>-50</v>
      </c>
    </row>
    <row r="190" spans="5:83" x14ac:dyDescent="0.2">
      <c r="E190" s="175">
        <v>80</v>
      </c>
      <c r="F190" s="222">
        <f t="shared" si="312"/>
        <v>0.32000000000000006</v>
      </c>
      <c r="G190" s="222">
        <f t="shared" si="279"/>
        <v>0.16000000000000003</v>
      </c>
      <c r="H190" s="222">
        <f t="shared" si="280"/>
        <v>3.8400000000000007</v>
      </c>
      <c r="I190" s="222">
        <f t="shared" si="281"/>
        <v>1.9200000000000004</v>
      </c>
      <c r="J190" s="558">
        <f t="shared" si="282"/>
        <v>21.6</v>
      </c>
      <c r="K190" s="453">
        <f t="shared" si="283"/>
        <v>24.5</v>
      </c>
      <c r="L190" s="453">
        <f t="shared" si="284"/>
        <v>46.1</v>
      </c>
      <c r="M190" s="453"/>
      <c r="N190" s="222">
        <f t="shared" si="285"/>
        <v>0.53145336225596529</v>
      </c>
      <c r="O190" s="177">
        <f t="shared" si="286"/>
        <v>5.2709544468546632</v>
      </c>
      <c r="P190" s="177">
        <f t="shared" si="287"/>
        <v>3.9532158351409978</v>
      </c>
      <c r="Q190" s="222">
        <f t="shared" si="288"/>
        <v>0.43924620390455527</v>
      </c>
      <c r="R190" s="222">
        <f t="shared" si="289"/>
        <v>0.43924620390455527</v>
      </c>
      <c r="S190" s="222">
        <f t="shared" si="290"/>
        <v>12</v>
      </c>
      <c r="T190" s="222">
        <f t="shared" si="291"/>
        <v>1.0563551736484069</v>
      </c>
      <c r="U190" s="222">
        <f t="shared" si="292"/>
        <v>4.1080478975215815</v>
      </c>
      <c r="V190" s="222">
        <f t="shared" si="293"/>
        <v>3.6217891667945379</v>
      </c>
      <c r="W190" s="202">
        <f t="shared" si="294"/>
        <v>350</v>
      </c>
      <c r="X190" s="453">
        <f t="shared" si="295"/>
        <v>129.3688329623896</v>
      </c>
      <c r="Z190" s="222">
        <f t="shared" si="296"/>
        <v>0.39045553145336231</v>
      </c>
      <c r="AA190" s="178">
        <f t="shared" si="297"/>
        <v>1.3387046792686708</v>
      </c>
      <c r="AB190" s="178">
        <f t="shared" si="298"/>
        <v>0.12196441763402208</v>
      </c>
      <c r="AC190" s="178"/>
      <c r="AD190" s="178">
        <f t="shared" si="299"/>
        <v>0.99428571428571422</v>
      </c>
      <c r="AE190" s="562">
        <f t="shared" si="300"/>
        <v>1109.7899326198974</v>
      </c>
      <c r="AF190" s="545">
        <f t="shared" si="301"/>
        <v>0.10091999999999998</v>
      </c>
      <c r="AH190" s="178">
        <f t="shared" si="302"/>
        <v>0.62596863714876139</v>
      </c>
      <c r="AI190" s="178">
        <f t="shared" si="303"/>
        <v>1.0563551736484069</v>
      </c>
      <c r="AJ190" s="178">
        <f t="shared" si="304"/>
        <v>1.7676704989988199</v>
      </c>
      <c r="AL190" s="562">
        <f t="shared" si="305"/>
        <v>320.00000000000006</v>
      </c>
      <c r="AM190" s="471">
        <f t="shared" si="306"/>
        <v>129.3688329623896</v>
      </c>
      <c r="AO190">
        <f t="shared" si="307"/>
        <v>320.00000000000006</v>
      </c>
      <c r="AP190">
        <f t="shared" si="308"/>
        <v>129.3688329623896</v>
      </c>
      <c r="AR190" s="5">
        <f t="shared" si="233"/>
        <v>7.7298370643161194</v>
      </c>
      <c r="AS190" s="5">
        <f t="shared" si="313"/>
        <v>4.1080478975215815</v>
      </c>
      <c r="AT190" s="5">
        <f t="shared" si="314"/>
        <v>3.6217891667945379</v>
      </c>
      <c r="AU190" s="178">
        <f t="shared" si="315"/>
        <v>0.53145336225596529</v>
      </c>
      <c r="AW190" s="5">
        <f t="shared" si="254"/>
        <v>10.954794393390886</v>
      </c>
      <c r="AX190" s="5">
        <f t="shared" si="255"/>
        <v>5.4773971966954429</v>
      </c>
      <c r="AY190" s="5">
        <f t="shared" si="256"/>
        <v>0.56480142951961609</v>
      </c>
      <c r="AZ190" s="5"/>
      <c r="BA190" s="178">
        <f t="shared" si="257"/>
        <v>0.44461275322674415</v>
      </c>
      <c r="BB190" s="178">
        <f t="shared" si="258"/>
        <v>0.83494091758891054</v>
      </c>
      <c r="BC190" s="178">
        <f t="shared" si="259"/>
        <v>0.41747045879445527</v>
      </c>
      <c r="BD190" s="178"/>
      <c r="BE190" s="545">
        <f t="shared" si="260"/>
        <v>6.9188175116152981E-2</v>
      </c>
      <c r="BF190" s="545">
        <f t="shared" si="261"/>
        <v>4.7250000000000007E-2</v>
      </c>
      <c r="BG190" s="545">
        <f t="shared" si="262"/>
        <v>1.61711041202987E-3</v>
      </c>
      <c r="BH190" s="545">
        <f t="shared" si="263"/>
        <v>1.3746796875000002E-2</v>
      </c>
      <c r="BI190">
        <f t="shared" si="264"/>
        <v>6.2640000000000005E-3</v>
      </c>
      <c r="BK190" s="471">
        <f t="shared" si="265"/>
        <v>138.06608240318286</v>
      </c>
      <c r="BL190" s="178">
        <f t="shared" si="266"/>
        <v>9.6000000000000016E-2</v>
      </c>
      <c r="BM190" s="178">
        <f t="shared" si="267"/>
        <v>4.8000000000000008E-2</v>
      </c>
      <c r="BN190" s="545"/>
      <c r="BP190" s="471">
        <f t="shared" si="268"/>
        <v>144.00000000000003</v>
      </c>
      <c r="BQ190" s="545">
        <f t="shared" si="269"/>
        <v>1.8779647531527239E-2</v>
      </c>
      <c r="BR190" s="545">
        <f t="shared" si="270"/>
        <v>6.2741370227779064E-2</v>
      </c>
      <c r="BS190" s="545">
        <f t="shared" si="271"/>
        <v>1.74281583966053E-2</v>
      </c>
      <c r="BT190" s="545">
        <f t="shared" si="272"/>
        <v>1.0916139186003931E-2</v>
      </c>
      <c r="BU190" s="545"/>
      <c r="BV190" s="655">
        <f t="shared" si="309"/>
        <v>3.2481203007518805E-2</v>
      </c>
      <c r="BW190" s="471">
        <f t="shared" si="273"/>
        <v>142.34651834943435</v>
      </c>
      <c r="BX190" s="178">
        <f t="shared" si="274"/>
        <v>0.42441260075261722</v>
      </c>
      <c r="BY190" s="5">
        <f t="shared" si="275"/>
        <v>5.7600000000000016</v>
      </c>
      <c r="BZ190" s="178">
        <f t="shared" si="276"/>
        <v>0.93137382187259499</v>
      </c>
      <c r="CA190" s="5">
        <f t="shared" si="277"/>
        <v>93.137382187259504</v>
      </c>
      <c r="CB190">
        <f t="shared" si="278"/>
        <v>80.000000000000014</v>
      </c>
      <c r="CD190" s="580">
        <f t="shared" si="310"/>
        <v>-50</v>
      </c>
      <c r="CE190">
        <f t="shared" si="311"/>
        <v>-50</v>
      </c>
    </row>
    <row r="191" spans="5:83" x14ac:dyDescent="0.2">
      <c r="E191" s="175">
        <v>81</v>
      </c>
      <c r="F191" s="222">
        <f t="shared" si="312"/>
        <v>0.32400000000000007</v>
      </c>
      <c r="G191" s="222">
        <f t="shared" si="279"/>
        <v>0.16200000000000003</v>
      </c>
      <c r="H191" s="222">
        <f t="shared" si="280"/>
        <v>3.8880000000000008</v>
      </c>
      <c r="I191" s="222">
        <f t="shared" si="281"/>
        <v>1.9440000000000004</v>
      </c>
      <c r="J191" s="558">
        <f t="shared" si="282"/>
        <v>21.6</v>
      </c>
      <c r="K191" s="453">
        <f t="shared" si="283"/>
        <v>24.5</v>
      </c>
      <c r="L191" s="453">
        <f t="shared" si="284"/>
        <v>46.1</v>
      </c>
      <c r="M191" s="453"/>
      <c r="N191" s="222">
        <f t="shared" si="285"/>
        <v>0.53145336225596529</v>
      </c>
      <c r="O191" s="177">
        <f t="shared" si="286"/>
        <v>5.2709544468546632</v>
      </c>
      <c r="P191" s="177">
        <f t="shared" si="287"/>
        <v>3.9532158351409978</v>
      </c>
      <c r="Q191" s="222">
        <f t="shared" si="288"/>
        <v>0.43924620390455527</v>
      </c>
      <c r="R191" s="222">
        <f t="shared" si="289"/>
        <v>0.43924620390455527</v>
      </c>
      <c r="S191" s="222">
        <f t="shared" si="290"/>
        <v>12</v>
      </c>
      <c r="T191" s="222">
        <f t="shared" si="291"/>
        <v>1.0695596133190119</v>
      </c>
      <c r="U191" s="222">
        <f t="shared" si="292"/>
        <v>4.159398496240601</v>
      </c>
      <c r="V191" s="222">
        <f t="shared" si="293"/>
        <v>3.6670615313794692</v>
      </c>
      <c r="W191" s="202">
        <f t="shared" si="294"/>
        <v>350</v>
      </c>
      <c r="X191" s="453">
        <f t="shared" si="295"/>
        <v>127.77168687643417</v>
      </c>
      <c r="Z191" s="222">
        <f t="shared" si="296"/>
        <v>0.39045553145336231</v>
      </c>
      <c r="AA191" s="178">
        <f t="shared" si="297"/>
        <v>1.3387046792686708</v>
      </c>
      <c r="AB191" s="178">
        <f t="shared" si="298"/>
        <v>0.12196441763402208</v>
      </c>
      <c r="AC191" s="178"/>
      <c r="AD191" s="178">
        <f t="shared" si="299"/>
        <v>0.99428571428571422</v>
      </c>
      <c r="AE191" s="562">
        <f t="shared" si="300"/>
        <v>1123.6623067776461</v>
      </c>
      <c r="AF191" s="545">
        <f t="shared" si="301"/>
        <v>0.10091999999999998</v>
      </c>
      <c r="AH191" s="178">
        <f t="shared" si="302"/>
        <v>0.62986879100138871</v>
      </c>
      <c r="AI191" s="178">
        <f t="shared" si="303"/>
        <v>1.0695596133190119</v>
      </c>
      <c r="AJ191" s="178">
        <f t="shared" si="304"/>
        <v>1.7774515654214902</v>
      </c>
      <c r="AL191" s="562">
        <f t="shared" si="305"/>
        <v>324.00000000000006</v>
      </c>
      <c r="AM191" s="471">
        <f t="shared" si="306"/>
        <v>127.77168687643417</v>
      </c>
      <c r="AO191">
        <f t="shared" si="307"/>
        <v>324.00000000000006</v>
      </c>
      <c r="AP191">
        <f t="shared" si="308"/>
        <v>127.77168687643417</v>
      </c>
      <c r="AR191" s="5">
        <f t="shared" si="233"/>
        <v>7.8264600276200698</v>
      </c>
      <c r="AS191" s="5">
        <f t="shared" si="313"/>
        <v>4.159398496240601</v>
      </c>
      <c r="AT191" s="5">
        <f t="shared" si="314"/>
        <v>3.6670615313794688</v>
      </c>
      <c r="AU191" s="178">
        <f t="shared" si="315"/>
        <v>0.53145336225596529</v>
      </c>
      <c r="AW191" s="5">
        <f t="shared" si="254"/>
        <v>11.230375939849626</v>
      </c>
      <c r="AX191" s="5">
        <f t="shared" si="255"/>
        <v>5.6151879699248131</v>
      </c>
      <c r="AY191" s="5">
        <f t="shared" si="256"/>
        <v>0.57900971548096869</v>
      </c>
      <c r="AZ191" s="5"/>
      <c r="BA191" s="178">
        <f t="shared" si="257"/>
        <v>0.45017041264207841</v>
      </c>
      <c r="BB191" s="178">
        <f t="shared" si="258"/>
        <v>0.84537767905877192</v>
      </c>
      <c r="BC191" s="178">
        <f t="shared" si="259"/>
        <v>0.42268883952938596</v>
      </c>
      <c r="BD191" s="178"/>
      <c r="BE191" s="545">
        <f t="shared" si="260"/>
        <v>7.0928690146418699E-2</v>
      </c>
      <c r="BF191" s="545">
        <f t="shared" si="261"/>
        <v>4.725E-2</v>
      </c>
      <c r="BG191" s="545">
        <f t="shared" si="262"/>
        <v>1.597146085955427E-3</v>
      </c>
      <c r="BH191" s="545">
        <f t="shared" si="263"/>
        <v>1.3577083333333333E-2</v>
      </c>
      <c r="BI191">
        <f t="shared" si="264"/>
        <v>6.2640000000000005E-3</v>
      </c>
      <c r="BK191" s="471">
        <f t="shared" si="265"/>
        <v>139.61691956570746</v>
      </c>
      <c r="BL191" s="178">
        <f t="shared" si="266"/>
        <v>9.7200000000000022E-2</v>
      </c>
      <c r="BM191" s="178">
        <f t="shared" si="267"/>
        <v>4.8600000000000011E-2</v>
      </c>
      <c r="BN191" s="545"/>
      <c r="BP191" s="471">
        <f t="shared" si="268"/>
        <v>145.80000000000004</v>
      </c>
      <c r="BQ191" s="545">
        <f t="shared" si="269"/>
        <v>1.9252073039742221E-2</v>
      </c>
      <c r="BR191" s="545">
        <f t="shared" si="270"/>
        <v>6.431970782257164E-2</v>
      </c>
      <c r="BS191" s="545">
        <f t="shared" si="271"/>
        <v>1.7866585506269902E-2</v>
      </c>
      <c r="BT191" s="545">
        <f t="shared" si="272"/>
        <v>1.0916139186003943E-2</v>
      </c>
      <c r="BU191" s="545"/>
      <c r="BV191" s="655">
        <f t="shared" si="309"/>
        <v>3.2887218045112791E-2</v>
      </c>
      <c r="BW191" s="471">
        <f t="shared" si="273"/>
        <v>145.24172359970049</v>
      </c>
      <c r="BX191" s="178">
        <f t="shared" si="274"/>
        <v>0.43065864316540803</v>
      </c>
      <c r="BY191" s="5">
        <f t="shared" si="275"/>
        <v>5.8320000000000007</v>
      </c>
      <c r="BZ191" s="178">
        <f t="shared" si="276"/>
        <v>0.93123389478757612</v>
      </c>
      <c r="CA191" s="5">
        <f t="shared" si="277"/>
        <v>93.123389478757616</v>
      </c>
      <c r="CB191">
        <f t="shared" si="278"/>
        <v>81.000000000000014</v>
      </c>
      <c r="CD191" s="580">
        <f t="shared" si="310"/>
        <v>-50</v>
      </c>
      <c r="CE191">
        <f t="shared" si="311"/>
        <v>-50</v>
      </c>
    </row>
    <row r="192" spans="5:83" x14ac:dyDescent="0.2">
      <c r="E192" s="175">
        <v>82</v>
      </c>
      <c r="F192" s="222">
        <f t="shared" si="312"/>
        <v>0.32800000000000001</v>
      </c>
      <c r="G192" s="222">
        <f t="shared" si="279"/>
        <v>0.16400000000000001</v>
      </c>
      <c r="H192" s="222">
        <f t="shared" si="280"/>
        <v>3.9359999999999999</v>
      </c>
      <c r="I192" s="222">
        <f t="shared" si="281"/>
        <v>1.968</v>
      </c>
      <c r="J192" s="558">
        <f t="shared" si="282"/>
        <v>21.6</v>
      </c>
      <c r="K192" s="453">
        <f t="shared" si="283"/>
        <v>24.5</v>
      </c>
      <c r="L192" s="453">
        <f t="shared" si="284"/>
        <v>46.1</v>
      </c>
      <c r="M192" s="453"/>
      <c r="N192" s="222">
        <f t="shared" si="285"/>
        <v>0.53145336225596529</v>
      </c>
      <c r="O192" s="177">
        <f t="shared" si="286"/>
        <v>5.2709544468546632</v>
      </c>
      <c r="P192" s="177">
        <f t="shared" si="287"/>
        <v>3.9532158351409978</v>
      </c>
      <c r="Q192" s="222">
        <f t="shared" si="288"/>
        <v>0.43924620390455527</v>
      </c>
      <c r="R192" s="222">
        <f t="shared" si="289"/>
        <v>0.43924620390455527</v>
      </c>
      <c r="S192" s="222">
        <f t="shared" si="290"/>
        <v>12</v>
      </c>
      <c r="T192" s="222">
        <f t="shared" si="291"/>
        <v>1.0827640529896168</v>
      </c>
      <c r="U192" s="222">
        <f t="shared" si="292"/>
        <v>4.2107490949596205</v>
      </c>
      <c r="V192" s="222">
        <f t="shared" si="293"/>
        <v>3.7123338959644001</v>
      </c>
      <c r="W192" s="202">
        <f t="shared" si="294"/>
        <v>350</v>
      </c>
      <c r="X192" s="453">
        <f t="shared" si="295"/>
        <v>126.21349557306306</v>
      </c>
      <c r="Z192" s="222">
        <f t="shared" si="296"/>
        <v>0.39045553145336231</v>
      </c>
      <c r="AA192" s="178">
        <f t="shared" si="297"/>
        <v>1.3387046792686708</v>
      </c>
      <c r="AB192" s="178">
        <f t="shared" si="298"/>
        <v>0.12196441763402208</v>
      </c>
      <c r="AC192" s="178"/>
      <c r="AD192" s="178">
        <f t="shared" si="299"/>
        <v>0.99428571428571422</v>
      </c>
      <c r="AE192" s="562">
        <f t="shared" si="300"/>
        <v>1137.5346809353948</v>
      </c>
      <c r="AF192" s="545">
        <f t="shared" si="301"/>
        <v>0.10091999999999998</v>
      </c>
      <c r="AH192" s="178">
        <f t="shared" si="302"/>
        <v>0.63374494322339525</v>
      </c>
      <c r="AI192" s="178">
        <f t="shared" si="303"/>
        <v>1.0827640529896168</v>
      </c>
      <c r="AJ192" s="178">
        <f t="shared" si="304"/>
        <v>1.7872326318441605</v>
      </c>
      <c r="AL192" s="562">
        <f t="shared" si="305"/>
        <v>328</v>
      </c>
      <c r="AM192" s="471">
        <f t="shared" si="306"/>
        <v>126.21349557306306</v>
      </c>
      <c r="AO192">
        <f t="shared" si="307"/>
        <v>328</v>
      </c>
      <c r="AP192">
        <f t="shared" si="308"/>
        <v>126.21349557306306</v>
      </c>
      <c r="AR192" s="5">
        <f t="shared" si="233"/>
        <v>7.9230829909240192</v>
      </c>
      <c r="AS192" s="5">
        <f t="shared" si="313"/>
        <v>4.2107490949596205</v>
      </c>
      <c r="AT192" s="5">
        <f t="shared" si="314"/>
        <v>3.7123338959643988</v>
      </c>
      <c r="AU192" s="178">
        <f t="shared" si="315"/>
        <v>0.5314533622559654</v>
      </c>
      <c r="AW192" s="5">
        <f t="shared" si="254"/>
        <v>11.509380859556297</v>
      </c>
      <c r="AX192" s="5">
        <f t="shared" si="255"/>
        <v>5.7546904297781483</v>
      </c>
      <c r="AY192" s="5">
        <f t="shared" si="256"/>
        <v>0.59339450188904608</v>
      </c>
      <c r="AZ192" s="5"/>
      <c r="BA192" s="178">
        <f t="shared" si="257"/>
        <v>0.45572807205741267</v>
      </c>
      <c r="BB192" s="178">
        <f t="shared" si="258"/>
        <v>0.85581444052863309</v>
      </c>
      <c r="BC192" s="178">
        <f t="shared" si="259"/>
        <v>0.42790722026431655</v>
      </c>
      <c r="BD192" s="178"/>
      <c r="BE192" s="545">
        <f t="shared" si="260"/>
        <v>7.2690826481408205E-2</v>
      </c>
      <c r="BF192" s="545">
        <f t="shared" si="261"/>
        <v>4.725E-2</v>
      </c>
      <c r="BG192" s="545">
        <f t="shared" si="262"/>
        <v>1.577668694663288E-3</v>
      </c>
      <c r="BH192" s="545">
        <f t="shared" si="263"/>
        <v>1.3411509146341467E-2</v>
      </c>
      <c r="BI192">
        <f t="shared" si="264"/>
        <v>6.2640000000000005E-3</v>
      </c>
      <c r="BK192" s="471">
        <f t="shared" si="265"/>
        <v>141.19400432241295</v>
      </c>
      <c r="BL192" s="178">
        <f t="shared" si="266"/>
        <v>9.8400000000000001E-2</v>
      </c>
      <c r="BM192" s="178">
        <f t="shared" si="267"/>
        <v>4.9200000000000001E-2</v>
      </c>
      <c r="BN192" s="545"/>
      <c r="BP192" s="471">
        <f t="shared" si="268"/>
        <v>147.60000000000002</v>
      </c>
      <c r="BQ192" s="545">
        <f t="shared" si="269"/>
        <v>1.97303671878108E-2</v>
      </c>
      <c r="BR192" s="545">
        <f t="shared" si="270"/>
        <v>6.5917652095560345E-2</v>
      </c>
      <c r="BS192" s="545">
        <f t="shared" si="271"/>
        <v>1.8310458915433432E-2</v>
      </c>
      <c r="BT192" s="545">
        <f t="shared" si="272"/>
        <v>1.0916139186003929E-2</v>
      </c>
      <c r="BU192" s="545"/>
      <c r="BV192" s="655">
        <f t="shared" si="309"/>
        <v>3.329323308270677E-2</v>
      </c>
      <c r="BW192" s="471">
        <f t="shared" si="273"/>
        <v>148.16785046751528</v>
      </c>
      <c r="BX192" s="178">
        <f t="shared" si="274"/>
        <v>0.43696185478992822</v>
      </c>
      <c r="BY192" s="5">
        <f t="shared" si="275"/>
        <v>5.9039999999999999</v>
      </c>
      <c r="BZ192" s="178">
        <f t="shared" si="276"/>
        <v>0.93108902642903468</v>
      </c>
      <c r="CA192" s="5">
        <f t="shared" si="277"/>
        <v>93.108902642903473</v>
      </c>
      <c r="CB192">
        <f t="shared" si="278"/>
        <v>82</v>
      </c>
      <c r="CD192" s="580">
        <f t="shared" si="310"/>
        <v>-50</v>
      </c>
      <c r="CE192">
        <f t="shared" si="311"/>
        <v>-50</v>
      </c>
    </row>
    <row r="193" spans="5:83" x14ac:dyDescent="0.2">
      <c r="E193" s="175">
        <v>83</v>
      </c>
      <c r="F193" s="222">
        <f t="shared" si="312"/>
        <v>0.33200000000000002</v>
      </c>
      <c r="G193" s="222">
        <f t="shared" si="279"/>
        <v>0.16600000000000001</v>
      </c>
      <c r="H193" s="222">
        <f t="shared" si="280"/>
        <v>3.984</v>
      </c>
      <c r="I193" s="222">
        <f t="shared" si="281"/>
        <v>1.992</v>
      </c>
      <c r="J193" s="558">
        <f t="shared" si="282"/>
        <v>21.6</v>
      </c>
      <c r="K193" s="453">
        <f t="shared" si="283"/>
        <v>24.5</v>
      </c>
      <c r="L193" s="453">
        <f t="shared" si="284"/>
        <v>46.1</v>
      </c>
      <c r="M193" s="453"/>
      <c r="N193" s="222">
        <f t="shared" si="285"/>
        <v>0.53145336225596529</v>
      </c>
      <c r="O193" s="177">
        <f t="shared" si="286"/>
        <v>5.2709544468546632</v>
      </c>
      <c r="P193" s="177">
        <f t="shared" si="287"/>
        <v>3.9532158351409978</v>
      </c>
      <c r="Q193" s="222">
        <f t="shared" si="288"/>
        <v>0.43924620390455527</v>
      </c>
      <c r="R193" s="222">
        <f t="shared" si="289"/>
        <v>0.43924620390455527</v>
      </c>
      <c r="S193" s="222">
        <f t="shared" si="290"/>
        <v>12</v>
      </c>
      <c r="T193" s="222">
        <f t="shared" si="291"/>
        <v>1.095968492660222</v>
      </c>
      <c r="U193" s="222">
        <f t="shared" si="292"/>
        <v>4.2620996936786408</v>
      </c>
      <c r="V193" s="222">
        <f t="shared" si="293"/>
        <v>3.7576062605493323</v>
      </c>
      <c r="W193" s="202">
        <f t="shared" si="294"/>
        <v>350</v>
      </c>
      <c r="X193" s="453">
        <f t="shared" si="295"/>
        <v>124.69285104808637</v>
      </c>
      <c r="Z193" s="222">
        <f t="shared" si="296"/>
        <v>0.39045553145336231</v>
      </c>
      <c r="AA193" s="178">
        <f t="shared" si="297"/>
        <v>1.3387046792686708</v>
      </c>
      <c r="AB193" s="178">
        <f t="shared" si="298"/>
        <v>0.12196441763402208</v>
      </c>
      <c r="AC193" s="178"/>
      <c r="AD193" s="178">
        <f t="shared" si="299"/>
        <v>0.99428571428571422</v>
      </c>
      <c r="AE193" s="562">
        <f t="shared" si="300"/>
        <v>1151.4070550931433</v>
      </c>
      <c r="AF193" s="545">
        <f t="shared" si="301"/>
        <v>0.10091999999999998</v>
      </c>
      <c r="AH193" s="178">
        <f t="shared" si="302"/>
        <v>0.63759753155489707</v>
      </c>
      <c r="AI193" s="178">
        <f t="shared" si="303"/>
        <v>1.095968492660222</v>
      </c>
      <c r="AJ193" s="178">
        <f t="shared" si="304"/>
        <v>1.797013698266831</v>
      </c>
      <c r="AL193" s="562">
        <f t="shared" si="305"/>
        <v>332</v>
      </c>
      <c r="AM193" s="471">
        <f t="shared" si="306"/>
        <v>124.69285104808637</v>
      </c>
      <c r="AO193">
        <f t="shared" si="307"/>
        <v>332</v>
      </c>
      <c r="AP193">
        <f t="shared" si="308"/>
        <v>124.69285104808637</v>
      </c>
      <c r="AR193" s="5">
        <f t="shared" si="233"/>
        <v>8.0197059542279732</v>
      </c>
      <c r="AS193" s="5">
        <f t="shared" si="313"/>
        <v>4.2620996936786408</v>
      </c>
      <c r="AT193" s="5">
        <f t="shared" si="314"/>
        <v>3.7576062605493323</v>
      </c>
      <c r="AU193" s="178">
        <f t="shared" si="315"/>
        <v>0.53145336225596529</v>
      </c>
      <c r="AW193" s="5">
        <f t="shared" si="254"/>
        <v>11.791809152510908</v>
      </c>
      <c r="AX193" s="5">
        <f t="shared" si="255"/>
        <v>5.8959045762554538</v>
      </c>
      <c r="AY193" s="5">
        <f t="shared" si="256"/>
        <v>0.60795578874384892</v>
      </c>
      <c r="AZ193" s="5"/>
      <c r="BA193" s="178">
        <f t="shared" si="257"/>
        <v>0.46128573147274698</v>
      </c>
      <c r="BB193" s="178">
        <f t="shared" si="258"/>
        <v>0.86625120199849459</v>
      </c>
      <c r="BC193" s="178">
        <f t="shared" si="259"/>
        <v>0.4331256009992473</v>
      </c>
      <c r="BD193" s="178"/>
      <c r="BE193" s="545">
        <f t="shared" si="260"/>
        <v>7.4474584121121526E-2</v>
      </c>
      <c r="BF193" s="545">
        <f t="shared" si="261"/>
        <v>4.725E-2</v>
      </c>
      <c r="BG193" s="545">
        <f t="shared" si="262"/>
        <v>1.5586606381010795E-3</v>
      </c>
      <c r="BH193" s="545">
        <f t="shared" si="263"/>
        <v>1.3249924698795183E-2</v>
      </c>
      <c r="BI193">
        <f t="shared" si="264"/>
        <v>6.2640000000000005E-3</v>
      </c>
      <c r="BK193" s="471">
        <f t="shared" si="265"/>
        <v>142.79716945801778</v>
      </c>
      <c r="BL193" s="178">
        <f t="shared" si="266"/>
        <v>9.9600000000000008E-2</v>
      </c>
      <c r="BM193" s="178">
        <f t="shared" si="267"/>
        <v>4.9800000000000004E-2</v>
      </c>
      <c r="BN193" s="545"/>
      <c r="BP193" s="471">
        <f t="shared" si="268"/>
        <v>149.4</v>
      </c>
      <c r="BQ193" s="545">
        <f t="shared" si="269"/>
        <v>2.0214529975732986E-2</v>
      </c>
      <c r="BR193" s="545">
        <f t="shared" si="270"/>
        <v>6.753520304674529E-2</v>
      </c>
      <c r="BS193" s="545">
        <f t="shared" si="271"/>
        <v>1.8759778624095919E-2</v>
      </c>
      <c r="BT193" s="545">
        <f t="shared" si="272"/>
        <v>1.0916139186003935E-2</v>
      </c>
      <c r="BU193" s="545"/>
      <c r="BV193" s="655">
        <f t="shared" si="309"/>
        <v>3.3699248120300757E-2</v>
      </c>
      <c r="BW193" s="471">
        <f t="shared" ref="BW193:BW210" si="316">SUM(BQ193:BV193)*1000</f>
        <v>151.12489895287891</v>
      </c>
      <c r="BX193" s="178">
        <f t="shared" ref="BX193:BX210" si="317">SUM(BE193:BI193,BL193:BO193,BQ193:BV193)</f>
        <v>0.44332206841089661</v>
      </c>
      <c r="BY193" s="5">
        <f t="shared" ref="BY193:BY210" si="318">MIN(H193+I193,O193+P193)</f>
        <v>5.976</v>
      </c>
      <c r="BZ193" s="178">
        <f t="shared" ref="BZ193:BZ210" si="319">BY193/(BY193+BX193)</f>
        <v>0.93093942573897981</v>
      </c>
      <c r="CA193" s="5">
        <f t="shared" ref="CA193:CA210" si="320">BZ193*100</f>
        <v>93.093942573897976</v>
      </c>
      <c r="CB193">
        <f t="shared" ref="CB193:CB210" si="321">F193/Iout*100</f>
        <v>83</v>
      </c>
      <c r="CD193" s="580">
        <f t="shared" si="310"/>
        <v>-50</v>
      </c>
      <c r="CE193">
        <f t="shared" si="311"/>
        <v>-50</v>
      </c>
    </row>
    <row r="194" spans="5:83" x14ac:dyDescent="0.2">
      <c r="E194" s="175">
        <v>84</v>
      </c>
      <c r="F194" s="222">
        <f t="shared" si="312"/>
        <v>0.33600000000000002</v>
      </c>
      <c r="G194" s="222">
        <f t="shared" si="279"/>
        <v>0.16800000000000001</v>
      </c>
      <c r="H194" s="222">
        <f t="shared" si="280"/>
        <v>4.032</v>
      </c>
      <c r="I194" s="222">
        <f t="shared" si="281"/>
        <v>2.016</v>
      </c>
      <c r="J194" s="558">
        <f t="shared" si="282"/>
        <v>21.6</v>
      </c>
      <c r="K194" s="453">
        <f t="shared" si="283"/>
        <v>24.5</v>
      </c>
      <c r="L194" s="453">
        <f t="shared" si="284"/>
        <v>46.1</v>
      </c>
      <c r="M194" s="453"/>
      <c r="N194" s="222">
        <f t="shared" si="285"/>
        <v>0.53145336225596529</v>
      </c>
      <c r="O194" s="177">
        <f t="shared" si="286"/>
        <v>5.2709544468546632</v>
      </c>
      <c r="P194" s="177">
        <f t="shared" si="287"/>
        <v>3.9532158351409978</v>
      </c>
      <c r="Q194" s="222">
        <f t="shared" si="288"/>
        <v>0.43924620390455527</v>
      </c>
      <c r="R194" s="222">
        <f t="shared" si="289"/>
        <v>0.43924620390455527</v>
      </c>
      <c r="S194" s="222">
        <f t="shared" si="290"/>
        <v>12</v>
      </c>
      <c r="T194" s="222">
        <f t="shared" si="291"/>
        <v>1.109172932330827</v>
      </c>
      <c r="U194" s="222">
        <f t="shared" si="292"/>
        <v>4.3134502923976612</v>
      </c>
      <c r="V194" s="222">
        <f t="shared" si="293"/>
        <v>3.8028786251342641</v>
      </c>
      <c r="W194" s="202">
        <f t="shared" si="294"/>
        <v>350</v>
      </c>
      <c r="X194" s="453">
        <f t="shared" si="295"/>
        <v>123.20841234513296</v>
      </c>
      <c r="Z194" s="222">
        <f t="shared" si="296"/>
        <v>0.39045553145336231</v>
      </c>
      <c r="AA194" s="178">
        <f t="shared" si="297"/>
        <v>1.3387046792686708</v>
      </c>
      <c r="AB194" s="178">
        <f t="shared" si="298"/>
        <v>0.12196441763402208</v>
      </c>
      <c r="AC194" s="178"/>
      <c r="AD194" s="178">
        <f t="shared" si="299"/>
        <v>0.99428571428571422</v>
      </c>
      <c r="AE194" s="562">
        <f t="shared" si="300"/>
        <v>1165.2794292508922</v>
      </c>
      <c r="AF194" s="545">
        <f t="shared" si="301"/>
        <v>0.10091999999999998</v>
      </c>
      <c r="AH194" s="178">
        <f t="shared" si="302"/>
        <v>0.64142698058981851</v>
      </c>
      <c r="AI194" s="178">
        <f t="shared" si="303"/>
        <v>1.109172932330827</v>
      </c>
      <c r="AJ194" s="178">
        <f t="shared" si="304"/>
        <v>1.8067947646895015</v>
      </c>
      <c r="AL194" s="562">
        <f t="shared" si="305"/>
        <v>336</v>
      </c>
      <c r="AM194" s="471">
        <f t="shared" si="306"/>
        <v>123.20841234513296</v>
      </c>
      <c r="AO194">
        <f t="shared" si="307"/>
        <v>336</v>
      </c>
      <c r="AP194">
        <f t="shared" si="308"/>
        <v>123.20841234513296</v>
      </c>
      <c r="AR194" s="5">
        <f t="shared" si="233"/>
        <v>8.1163289175319253</v>
      </c>
      <c r="AS194" s="5">
        <f t="shared" si="313"/>
        <v>4.3134502923976612</v>
      </c>
      <c r="AT194" s="5">
        <f t="shared" si="314"/>
        <v>3.8028786251342641</v>
      </c>
      <c r="AU194" s="178">
        <f t="shared" si="315"/>
        <v>0.53145336225596529</v>
      </c>
      <c r="AW194" s="5">
        <f t="shared" si="254"/>
        <v>12.077660818713452</v>
      </c>
      <c r="AX194" s="5">
        <f t="shared" si="255"/>
        <v>6.0388304093567262</v>
      </c>
      <c r="AY194" s="5">
        <f t="shared" si="256"/>
        <v>0.62269357604537645</v>
      </c>
      <c r="AZ194" s="5"/>
      <c r="BA194" s="178">
        <f t="shared" si="257"/>
        <v>0.46684339088808124</v>
      </c>
      <c r="BB194" s="178">
        <f t="shared" si="258"/>
        <v>0.87668796346835587</v>
      </c>
      <c r="BC194" s="178">
        <f t="shared" si="259"/>
        <v>0.43834398173417793</v>
      </c>
      <c r="BD194" s="178"/>
      <c r="BE194" s="545">
        <f t="shared" si="260"/>
        <v>7.6279963065558634E-2</v>
      </c>
      <c r="BF194" s="545">
        <f t="shared" si="261"/>
        <v>4.725E-2</v>
      </c>
      <c r="BG194" s="545">
        <f t="shared" si="262"/>
        <v>1.5401051543141619E-3</v>
      </c>
      <c r="BH194" s="545">
        <f t="shared" si="263"/>
        <v>1.3092187500000001E-2</v>
      </c>
      <c r="BI194">
        <f t="shared" si="264"/>
        <v>6.2640000000000005E-3</v>
      </c>
      <c r="BK194" s="471">
        <f t="shared" si="265"/>
        <v>144.42625571987278</v>
      </c>
      <c r="BL194" s="178">
        <f t="shared" si="266"/>
        <v>0.1008</v>
      </c>
      <c r="BM194" s="178">
        <f t="shared" si="267"/>
        <v>5.04E-2</v>
      </c>
      <c r="BN194" s="545"/>
      <c r="BP194" s="471">
        <f t="shared" si="268"/>
        <v>151.19999999999999</v>
      </c>
      <c r="BQ194" s="545">
        <f t="shared" si="269"/>
        <v>2.0704561403508771E-2</v>
      </c>
      <c r="BR194" s="545">
        <f t="shared" si="270"/>
        <v>6.9172360676126393E-2</v>
      </c>
      <c r="BS194" s="545">
        <f t="shared" si="271"/>
        <v>1.9214544632257333E-2</v>
      </c>
      <c r="BT194" s="545">
        <f t="shared" si="272"/>
        <v>1.091613918600394E-2</v>
      </c>
      <c r="BU194" s="545"/>
      <c r="BV194" s="655">
        <f t="shared" si="309"/>
        <v>3.4105263157894743E-2</v>
      </c>
      <c r="BW194" s="471">
        <f t="shared" si="316"/>
        <v>154.11286905579115</v>
      </c>
      <c r="BX194" s="178">
        <f t="shared" si="317"/>
        <v>0.44973912477566397</v>
      </c>
      <c r="BY194" s="5">
        <f t="shared" si="318"/>
        <v>6.048</v>
      </c>
      <c r="BZ194" s="178">
        <f t="shared" si="319"/>
        <v>0.93078529067736449</v>
      </c>
      <c r="CA194" s="5">
        <f t="shared" si="320"/>
        <v>93.078529067736454</v>
      </c>
      <c r="CB194">
        <f t="shared" si="321"/>
        <v>84</v>
      </c>
      <c r="CD194" s="580">
        <f t="shared" si="310"/>
        <v>-50</v>
      </c>
      <c r="CE194">
        <f t="shared" si="311"/>
        <v>-50</v>
      </c>
    </row>
    <row r="195" spans="5:83" x14ac:dyDescent="0.2">
      <c r="E195" s="175">
        <v>85</v>
      </c>
      <c r="F195" s="222">
        <f t="shared" si="312"/>
        <v>0.34</v>
      </c>
      <c r="G195" s="222">
        <f t="shared" si="279"/>
        <v>0.17</v>
      </c>
      <c r="H195" s="222">
        <f t="shared" si="280"/>
        <v>4.08</v>
      </c>
      <c r="I195" s="222">
        <f t="shared" si="281"/>
        <v>2.04</v>
      </c>
      <c r="J195" s="558">
        <f t="shared" si="282"/>
        <v>21.6</v>
      </c>
      <c r="K195" s="453">
        <f t="shared" si="283"/>
        <v>24.5</v>
      </c>
      <c r="L195" s="453">
        <f t="shared" si="284"/>
        <v>46.1</v>
      </c>
      <c r="M195" s="453"/>
      <c r="N195" s="222">
        <f t="shared" si="285"/>
        <v>0.53145336225596529</v>
      </c>
      <c r="O195" s="177">
        <f t="shared" si="286"/>
        <v>5.2709544468546632</v>
      </c>
      <c r="P195" s="177">
        <f t="shared" si="287"/>
        <v>3.9532158351409978</v>
      </c>
      <c r="Q195" s="222">
        <f t="shared" si="288"/>
        <v>0.43924620390455527</v>
      </c>
      <c r="R195" s="222">
        <f t="shared" si="289"/>
        <v>0.43924620390455527</v>
      </c>
      <c r="S195" s="222">
        <f t="shared" si="290"/>
        <v>12</v>
      </c>
      <c r="T195" s="222">
        <f t="shared" si="291"/>
        <v>1.1223773720014321</v>
      </c>
      <c r="U195" s="222">
        <f t="shared" si="292"/>
        <v>4.3648008911166798</v>
      </c>
      <c r="V195" s="222">
        <f t="shared" si="293"/>
        <v>3.848150989719195</v>
      </c>
      <c r="W195" s="202">
        <f t="shared" si="294"/>
        <v>350</v>
      </c>
      <c r="X195" s="453">
        <f t="shared" si="295"/>
        <v>121.75890161166083</v>
      </c>
      <c r="Z195" s="222">
        <f t="shared" si="296"/>
        <v>0.39045553145336231</v>
      </c>
      <c r="AA195" s="178">
        <f t="shared" si="297"/>
        <v>1.3387046792686708</v>
      </c>
      <c r="AB195" s="178">
        <f t="shared" si="298"/>
        <v>0.12196441763402208</v>
      </c>
      <c r="AC195" s="178"/>
      <c r="AD195" s="178">
        <f t="shared" si="299"/>
        <v>0.99428571428571422</v>
      </c>
      <c r="AE195" s="562">
        <f t="shared" si="300"/>
        <v>1179.1518034086409</v>
      </c>
      <c r="AF195" s="545">
        <f t="shared" si="301"/>
        <v>0.10091999999999998</v>
      </c>
      <c r="AH195" s="178">
        <f t="shared" si="302"/>
        <v>0.64523370232206945</v>
      </c>
      <c r="AI195" s="178">
        <f t="shared" si="303"/>
        <v>1.1223773720014321</v>
      </c>
      <c r="AJ195" s="178">
        <f t="shared" si="304"/>
        <v>1.8165758311121718</v>
      </c>
      <c r="AL195" s="562">
        <f t="shared" si="305"/>
        <v>340</v>
      </c>
      <c r="AM195" s="471">
        <f t="shared" si="306"/>
        <v>121.75890161166083</v>
      </c>
      <c r="AO195">
        <f t="shared" si="307"/>
        <v>340</v>
      </c>
      <c r="AP195">
        <f t="shared" si="308"/>
        <v>121.75890161166083</v>
      </c>
      <c r="AR195" s="5">
        <f t="shared" si="233"/>
        <v>8.2129518808358739</v>
      </c>
      <c r="AS195" s="5">
        <f t="shared" si="313"/>
        <v>4.3648008911166798</v>
      </c>
      <c r="AT195" s="5">
        <f t="shared" si="314"/>
        <v>3.8481509897191941</v>
      </c>
      <c r="AU195" s="178">
        <f t="shared" si="315"/>
        <v>0.5314533622559654</v>
      </c>
      <c r="AW195" s="5">
        <f t="shared" si="254"/>
        <v>12.366935858163925</v>
      </c>
      <c r="AX195" s="5">
        <f t="shared" si="255"/>
        <v>6.1834679290819627</v>
      </c>
      <c r="AY195" s="5">
        <f t="shared" si="256"/>
        <v>0.63760786379362855</v>
      </c>
      <c r="AZ195" s="5"/>
      <c r="BA195" s="178">
        <f t="shared" si="257"/>
        <v>0.47240105030341556</v>
      </c>
      <c r="BB195" s="178">
        <f t="shared" si="258"/>
        <v>0.88712472493821726</v>
      </c>
      <c r="BC195" s="178">
        <f t="shared" si="259"/>
        <v>0.44356236246910863</v>
      </c>
      <c r="BD195" s="178"/>
      <c r="BE195" s="545">
        <f t="shared" si="260"/>
        <v>7.8106963314719557E-2</v>
      </c>
      <c r="BF195" s="545">
        <f t="shared" si="261"/>
        <v>4.725E-2</v>
      </c>
      <c r="BG195" s="545">
        <f t="shared" si="262"/>
        <v>1.5219862701457603E-3</v>
      </c>
      <c r="BH195" s="545">
        <f t="shared" si="263"/>
        <v>1.2938161764705886E-2</v>
      </c>
      <c r="BI195">
        <f t="shared" si="264"/>
        <v>6.2640000000000005E-3</v>
      </c>
      <c r="BK195" s="471">
        <f t="shared" si="265"/>
        <v>146.08111134957122</v>
      </c>
      <c r="BL195" s="178">
        <f t="shared" si="266"/>
        <v>0.10200000000000001</v>
      </c>
      <c r="BM195" s="178">
        <f t="shared" si="267"/>
        <v>5.1000000000000004E-2</v>
      </c>
      <c r="BN195" s="545"/>
      <c r="BP195" s="471">
        <f t="shared" si="268"/>
        <v>153.00000000000003</v>
      </c>
      <c r="BQ195" s="545">
        <f t="shared" si="269"/>
        <v>2.1200461471138167E-2</v>
      </c>
      <c r="BR195" s="545">
        <f t="shared" si="270"/>
        <v>7.0829124983703681E-2</v>
      </c>
      <c r="BS195" s="545">
        <f t="shared" si="271"/>
        <v>1.967475693991769E-2</v>
      </c>
      <c r="BT195" s="545">
        <f t="shared" si="272"/>
        <v>1.0916139186003936E-2</v>
      </c>
      <c r="BU195" s="545"/>
      <c r="BV195" s="655">
        <f t="shared" si="309"/>
        <v>3.4511278195488729E-2</v>
      </c>
      <c r="BW195" s="471">
        <f t="shared" si="316"/>
        <v>157.13176077625221</v>
      </c>
      <c r="BX195" s="178">
        <f t="shared" si="317"/>
        <v>0.45621287212582345</v>
      </c>
      <c r="BY195" s="5">
        <f t="shared" si="318"/>
        <v>6.12</v>
      </c>
      <c r="BZ195" s="178">
        <f t="shared" si="319"/>
        <v>0.93062680892530947</v>
      </c>
      <c r="CA195" s="5">
        <f t="shared" si="320"/>
        <v>93.062680892530949</v>
      </c>
      <c r="CB195">
        <f t="shared" si="321"/>
        <v>85</v>
      </c>
      <c r="CD195" s="580">
        <f t="shared" si="310"/>
        <v>-50</v>
      </c>
      <c r="CE195">
        <f t="shared" si="311"/>
        <v>-50</v>
      </c>
    </row>
    <row r="196" spans="5:83" x14ac:dyDescent="0.2">
      <c r="E196" s="175">
        <v>86</v>
      </c>
      <c r="F196" s="222">
        <f t="shared" si="312"/>
        <v>0.34400000000000003</v>
      </c>
      <c r="G196" s="222">
        <f t="shared" si="279"/>
        <v>0.17200000000000001</v>
      </c>
      <c r="H196" s="222">
        <f t="shared" si="280"/>
        <v>4.1280000000000001</v>
      </c>
      <c r="I196" s="222">
        <f t="shared" si="281"/>
        <v>2.0640000000000001</v>
      </c>
      <c r="J196" s="558">
        <f t="shared" si="282"/>
        <v>21.6</v>
      </c>
      <c r="K196" s="453">
        <f t="shared" si="283"/>
        <v>24.5</v>
      </c>
      <c r="L196" s="453">
        <f t="shared" si="284"/>
        <v>46.1</v>
      </c>
      <c r="M196" s="453"/>
      <c r="N196" s="222">
        <f t="shared" si="285"/>
        <v>0.53145336225596529</v>
      </c>
      <c r="O196" s="177">
        <f t="shared" si="286"/>
        <v>5.2709544468546632</v>
      </c>
      <c r="P196" s="177">
        <f t="shared" si="287"/>
        <v>3.9532158351409978</v>
      </c>
      <c r="Q196" s="222">
        <f t="shared" si="288"/>
        <v>0.43924620390455527</v>
      </c>
      <c r="R196" s="222">
        <f t="shared" si="289"/>
        <v>0.43924620390455527</v>
      </c>
      <c r="S196" s="222">
        <f t="shared" si="290"/>
        <v>12</v>
      </c>
      <c r="T196" s="222">
        <f t="shared" si="291"/>
        <v>1.1355818116720373</v>
      </c>
      <c r="U196" s="222">
        <f t="shared" si="292"/>
        <v>4.4161514898357002</v>
      </c>
      <c r="V196" s="222">
        <f t="shared" si="293"/>
        <v>3.8934233543041277</v>
      </c>
      <c r="W196" s="202">
        <f t="shared" si="294"/>
        <v>350</v>
      </c>
      <c r="X196" s="453">
        <f t="shared" si="295"/>
        <v>120.34310043012985</v>
      </c>
      <c r="Z196" s="222">
        <f t="shared" si="296"/>
        <v>0.39045553145336231</v>
      </c>
      <c r="AA196" s="178">
        <f t="shared" si="297"/>
        <v>1.3387046792686708</v>
      </c>
      <c r="AB196" s="178">
        <f t="shared" si="298"/>
        <v>0.12196441763402208</v>
      </c>
      <c r="AC196" s="178"/>
      <c r="AD196" s="178">
        <f t="shared" si="299"/>
        <v>0.99428571428571422</v>
      </c>
      <c r="AE196" s="562">
        <f t="shared" si="300"/>
        <v>1193.0241775663897</v>
      </c>
      <c r="AF196" s="545">
        <f t="shared" si="301"/>
        <v>0.10091999999999998</v>
      </c>
      <c r="AH196" s="178">
        <f t="shared" si="302"/>
        <v>0.64901809666288846</v>
      </c>
      <c r="AI196" s="178">
        <f t="shared" si="303"/>
        <v>1.1355818116720373</v>
      </c>
      <c r="AJ196" s="178">
        <f t="shared" si="304"/>
        <v>1.8263568975348423</v>
      </c>
      <c r="AL196" s="562">
        <f t="shared" si="305"/>
        <v>344</v>
      </c>
      <c r="AM196" s="471">
        <f t="shared" si="306"/>
        <v>120.34310043012985</v>
      </c>
      <c r="AO196">
        <f t="shared" si="307"/>
        <v>344</v>
      </c>
      <c r="AP196">
        <f t="shared" si="308"/>
        <v>120.34310043012985</v>
      </c>
      <c r="AR196" s="5">
        <f t="shared" si="233"/>
        <v>8.3095748441398296</v>
      </c>
      <c r="AS196" s="5">
        <f t="shared" si="313"/>
        <v>4.4161514898357002</v>
      </c>
      <c r="AT196" s="5">
        <f t="shared" si="314"/>
        <v>3.8934233543041294</v>
      </c>
      <c r="AU196" s="178">
        <f t="shared" si="315"/>
        <v>0.53145336225596518</v>
      </c>
      <c r="AW196" s="5">
        <f t="shared" si="254"/>
        <v>12.659634270862341</v>
      </c>
      <c r="AX196" s="5">
        <f t="shared" si="255"/>
        <v>6.3298171354311705</v>
      </c>
      <c r="AY196" s="5">
        <f t="shared" si="256"/>
        <v>0.65269865198860644</v>
      </c>
      <c r="AZ196" s="5"/>
      <c r="BA196" s="178">
        <f t="shared" si="257"/>
        <v>0.47795870971874982</v>
      </c>
      <c r="BB196" s="178">
        <f t="shared" si="258"/>
        <v>0.89756148640807887</v>
      </c>
      <c r="BC196" s="178">
        <f t="shared" si="259"/>
        <v>0.44878074320403943</v>
      </c>
      <c r="BD196" s="178"/>
      <c r="BE196" s="545">
        <f t="shared" si="260"/>
        <v>7.9955584868604254E-2</v>
      </c>
      <c r="BF196" s="545">
        <f t="shared" si="261"/>
        <v>4.725E-2</v>
      </c>
      <c r="BG196" s="545">
        <f t="shared" si="262"/>
        <v>1.5042887553766231E-3</v>
      </c>
      <c r="BH196" s="545">
        <f t="shared" si="263"/>
        <v>1.2787718023255814E-2</v>
      </c>
      <c r="BI196">
        <f t="shared" si="264"/>
        <v>6.2640000000000005E-3</v>
      </c>
      <c r="BK196" s="471">
        <f t="shared" si="265"/>
        <v>147.76159164723668</v>
      </c>
      <c r="BL196" s="178">
        <f t="shared" si="266"/>
        <v>0.1032</v>
      </c>
      <c r="BM196" s="178">
        <f t="shared" si="267"/>
        <v>5.16E-2</v>
      </c>
      <c r="BN196" s="545"/>
      <c r="BP196" s="471">
        <f t="shared" si="268"/>
        <v>154.79999999999998</v>
      </c>
      <c r="BQ196" s="545">
        <f t="shared" si="269"/>
        <v>2.1702230178621155E-2</v>
      </c>
      <c r="BR196" s="545">
        <f t="shared" si="270"/>
        <v>7.2505495969477196E-2</v>
      </c>
      <c r="BS196" s="545">
        <f t="shared" si="271"/>
        <v>2.0140415547077E-2</v>
      </c>
      <c r="BT196" s="545">
        <f t="shared" si="272"/>
        <v>1.0916139186003938E-2</v>
      </c>
      <c r="BU196" s="545"/>
      <c r="BV196" s="655">
        <f t="shared" si="309"/>
        <v>3.4917293233082708E-2</v>
      </c>
      <c r="BW196" s="471">
        <f t="shared" si="316"/>
        <v>160.18157411426202</v>
      </c>
      <c r="BX196" s="178">
        <f t="shared" si="317"/>
        <v>0.46274316576149865</v>
      </c>
      <c r="BY196" s="5">
        <f t="shared" si="318"/>
        <v>6.1920000000000002</v>
      </c>
      <c r="BZ196" s="178">
        <f t="shared" si="319"/>
        <v>0.9304641585354787</v>
      </c>
      <c r="CA196" s="5">
        <f t="shared" si="320"/>
        <v>93.04641585354787</v>
      </c>
      <c r="CB196">
        <f t="shared" si="321"/>
        <v>86</v>
      </c>
      <c r="CD196" s="580">
        <f t="shared" si="310"/>
        <v>-50</v>
      </c>
      <c r="CE196">
        <f t="shared" si="311"/>
        <v>-50</v>
      </c>
    </row>
    <row r="197" spans="5:83" x14ac:dyDescent="0.2">
      <c r="E197" s="175">
        <v>87</v>
      </c>
      <c r="F197" s="222">
        <f t="shared" si="312"/>
        <v>0.34800000000000003</v>
      </c>
      <c r="G197" s="222">
        <f t="shared" si="279"/>
        <v>0.17400000000000002</v>
      </c>
      <c r="H197" s="222">
        <f t="shared" si="280"/>
        <v>4.1760000000000002</v>
      </c>
      <c r="I197" s="222">
        <f t="shared" si="281"/>
        <v>2.0880000000000001</v>
      </c>
      <c r="J197" s="558">
        <f t="shared" si="282"/>
        <v>21.6</v>
      </c>
      <c r="K197" s="453">
        <f t="shared" si="283"/>
        <v>24.5</v>
      </c>
      <c r="L197" s="453">
        <f t="shared" si="284"/>
        <v>46.1</v>
      </c>
      <c r="M197" s="453"/>
      <c r="N197" s="222">
        <f t="shared" si="285"/>
        <v>0.53145336225596529</v>
      </c>
      <c r="O197" s="177">
        <f t="shared" si="286"/>
        <v>5.2709544468546632</v>
      </c>
      <c r="P197" s="177">
        <f t="shared" si="287"/>
        <v>3.9532158351409978</v>
      </c>
      <c r="Q197" s="222">
        <f t="shared" si="288"/>
        <v>0.43924620390455527</v>
      </c>
      <c r="R197" s="222">
        <f t="shared" si="289"/>
        <v>0.43924620390455527</v>
      </c>
      <c r="S197" s="222">
        <f t="shared" si="290"/>
        <v>12</v>
      </c>
      <c r="T197" s="222">
        <f t="shared" si="291"/>
        <v>1.1487862513426423</v>
      </c>
      <c r="U197" s="222">
        <f t="shared" si="292"/>
        <v>4.4675020885547205</v>
      </c>
      <c r="V197" s="222">
        <f t="shared" si="293"/>
        <v>3.9386957188890594</v>
      </c>
      <c r="W197" s="202">
        <f t="shared" si="294"/>
        <v>350</v>
      </c>
      <c r="X197" s="453">
        <f t="shared" si="295"/>
        <v>118.95984640219733</v>
      </c>
      <c r="Z197" s="222">
        <f t="shared" si="296"/>
        <v>0.39045553145336231</v>
      </c>
      <c r="AA197" s="178">
        <f t="shared" si="297"/>
        <v>1.3387046792686708</v>
      </c>
      <c r="AB197" s="178">
        <f t="shared" si="298"/>
        <v>0.12196441763402208</v>
      </c>
      <c r="AC197" s="178"/>
      <c r="AD197" s="178">
        <f t="shared" si="299"/>
        <v>0.99428571428571422</v>
      </c>
      <c r="AE197" s="562">
        <f t="shared" si="300"/>
        <v>1206.8965517241384</v>
      </c>
      <c r="AF197" s="545">
        <f t="shared" si="301"/>
        <v>0.10091999999999998</v>
      </c>
      <c r="AH197" s="178">
        <f t="shared" si="302"/>
        <v>0.65278055193119222</v>
      </c>
      <c r="AI197" s="178">
        <f t="shared" si="303"/>
        <v>1.1487862513426423</v>
      </c>
      <c r="AJ197" s="178">
        <f t="shared" si="304"/>
        <v>1.8361379639575128</v>
      </c>
      <c r="AL197" s="562">
        <f t="shared" si="305"/>
        <v>348.00000000000006</v>
      </c>
      <c r="AM197" s="471">
        <f t="shared" si="306"/>
        <v>118.95984640219733</v>
      </c>
      <c r="AO197">
        <f t="shared" si="307"/>
        <v>348.00000000000006</v>
      </c>
      <c r="AP197">
        <f t="shared" si="308"/>
        <v>118.95984640219733</v>
      </c>
      <c r="AR197" s="5">
        <f t="shared" si="233"/>
        <v>8.40619780744378</v>
      </c>
      <c r="AS197" s="5">
        <f t="shared" si="313"/>
        <v>4.4675020885547205</v>
      </c>
      <c r="AT197" s="5">
        <f t="shared" si="314"/>
        <v>3.9386957188890594</v>
      </c>
      <c r="AU197" s="178">
        <f t="shared" si="315"/>
        <v>0.53145336225596529</v>
      </c>
      <c r="AW197" s="5">
        <f t="shared" si="254"/>
        <v>12.95575605680869</v>
      </c>
      <c r="AX197" s="5">
        <f t="shared" si="255"/>
        <v>6.4778780284043451</v>
      </c>
      <c r="AY197" s="5">
        <f t="shared" si="256"/>
        <v>0.66796594063030812</v>
      </c>
      <c r="AZ197" s="5"/>
      <c r="BA197" s="178">
        <f t="shared" si="257"/>
        <v>0.48351636913408413</v>
      </c>
      <c r="BB197" s="178">
        <f t="shared" si="258"/>
        <v>0.90799824787794003</v>
      </c>
      <c r="BC197" s="178">
        <f t="shared" si="259"/>
        <v>0.45399912393897002</v>
      </c>
      <c r="BD197" s="178"/>
      <c r="BE197" s="545">
        <f t="shared" si="260"/>
        <v>8.1825827727212766E-2</v>
      </c>
      <c r="BF197" s="545">
        <f t="shared" si="261"/>
        <v>4.7249999999999993E-2</v>
      </c>
      <c r="BG197" s="545">
        <f t="shared" si="262"/>
        <v>1.4869980800274664E-3</v>
      </c>
      <c r="BH197" s="545">
        <f t="shared" si="263"/>
        <v>1.2640732758620691E-2</v>
      </c>
      <c r="BI197">
        <f t="shared" si="264"/>
        <v>6.2640000000000005E-3</v>
      </c>
      <c r="BK197" s="471">
        <f t="shared" si="265"/>
        <v>149.46755856586091</v>
      </c>
      <c r="BL197" s="178">
        <f t="shared" si="266"/>
        <v>0.10440000000000001</v>
      </c>
      <c r="BM197" s="178">
        <f t="shared" si="267"/>
        <v>5.2200000000000003E-2</v>
      </c>
      <c r="BN197" s="545"/>
      <c r="BP197" s="471">
        <f t="shared" si="268"/>
        <v>156.60000000000002</v>
      </c>
      <c r="BQ197" s="545">
        <f t="shared" si="269"/>
        <v>2.2209867525957751E-2</v>
      </c>
      <c r="BR197" s="545">
        <f t="shared" si="270"/>
        <v>7.4201473633446813E-2</v>
      </c>
      <c r="BS197" s="545">
        <f t="shared" si="271"/>
        <v>2.0611520453735228E-2</v>
      </c>
      <c r="BT197" s="545">
        <f t="shared" si="272"/>
        <v>1.0916139186003947E-2</v>
      </c>
      <c r="BU197" s="545"/>
      <c r="BV197" s="655">
        <f t="shared" si="309"/>
        <v>3.5323308270676687E-2</v>
      </c>
      <c r="BW197" s="471">
        <f t="shared" si="316"/>
        <v>163.26230906982042</v>
      </c>
      <c r="BX197" s="178">
        <f t="shared" si="317"/>
        <v>0.46932986763568135</v>
      </c>
      <c r="BY197" s="5">
        <f t="shared" si="318"/>
        <v>6.2640000000000002</v>
      </c>
      <c r="BZ197" s="178">
        <f t="shared" si="319"/>
        <v>0.93029750853414217</v>
      </c>
      <c r="CA197" s="5">
        <f t="shared" si="320"/>
        <v>93.029750853414214</v>
      </c>
      <c r="CB197">
        <f t="shared" si="321"/>
        <v>87</v>
      </c>
      <c r="CD197" s="580">
        <f t="shared" si="310"/>
        <v>-50</v>
      </c>
      <c r="CE197">
        <f t="shared" si="311"/>
        <v>-50</v>
      </c>
    </row>
    <row r="198" spans="5:83" x14ac:dyDescent="0.2">
      <c r="E198" s="175">
        <v>88</v>
      </c>
      <c r="F198" s="222">
        <f t="shared" si="312"/>
        <v>0.35200000000000004</v>
      </c>
      <c r="G198" s="222">
        <f t="shared" si="279"/>
        <v>0.17600000000000002</v>
      </c>
      <c r="H198" s="222">
        <f t="shared" si="280"/>
        <v>4.2240000000000002</v>
      </c>
      <c r="I198" s="222">
        <f t="shared" si="281"/>
        <v>2.1120000000000001</v>
      </c>
      <c r="J198" s="558">
        <f t="shared" si="282"/>
        <v>21.6</v>
      </c>
      <c r="K198" s="453">
        <f t="shared" si="283"/>
        <v>24.5</v>
      </c>
      <c r="L198" s="453">
        <f t="shared" si="284"/>
        <v>46.1</v>
      </c>
      <c r="M198" s="453"/>
      <c r="N198" s="222">
        <f t="shared" si="285"/>
        <v>0.53145336225596529</v>
      </c>
      <c r="O198" s="177">
        <f t="shared" si="286"/>
        <v>5.2709544468546632</v>
      </c>
      <c r="P198" s="177">
        <f t="shared" si="287"/>
        <v>3.9532158351409978</v>
      </c>
      <c r="Q198" s="222">
        <f t="shared" si="288"/>
        <v>0.43924620390455527</v>
      </c>
      <c r="R198" s="222">
        <f t="shared" si="289"/>
        <v>0.43924620390455527</v>
      </c>
      <c r="S198" s="222">
        <f t="shared" si="290"/>
        <v>12</v>
      </c>
      <c r="T198" s="222">
        <f t="shared" si="291"/>
        <v>1.1619906910132474</v>
      </c>
      <c r="U198" s="222">
        <f t="shared" si="292"/>
        <v>4.5188526872737391</v>
      </c>
      <c r="V198" s="222">
        <f t="shared" si="293"/>
        <v>3.9839680834739908</v>
      </c>
      <c r="W198" s="202">
        <f t="shared" si="294"/>
        <v>350</v>
      </c>
      <c r="X198" s="453">
        <f t="shared" si="295"/>
        <v>117.60802996580874</v>
      </c>
      <c r="Z198" s="222">
        <f t="shared" si="296"/>
        <v>0.39045553145336231</v>
      </c>
      <c r="AA198" s="178">
        <f t="shared" si="297"/>
        <v>1.3387046792686708</v>
      </c>
      <c r="AB198" s="178">
        <f t="shared" si="298"/>
        <v>0.12196441763402208</v>
      </c>
      <c r="AC198" s="178"/>
      <c r="AD198" s="178">
        <f t="shared" si="299"/>
        <v>0.99428571428571422</v>
      </c>
      <c r="AE198" s="562">
        <f t="shared" si="300"/>
        <v>1220.7689258818871</v>
      </c>
      <c r="AF198" s="545">
        <f t="shared" si="301"/>
        <v>0.10091999999999998</v>
      </c>
      <c r="AH198" s="178">
        <f t="shared" si="302"/>
        <v>0.65652144531863188</v>
      </c>
      <c r="AI198" s="178">
        <f t="shared" si="303"/>
        <v>1.1619906910132474</v>
      </c>
      <c r="AJ198" s="178">
        <f t="shared" si="304"/>
        <v>1.8459190303801831</v>
      </c>
      <c r="AL198" s="562">
        <f t="shared" si="305"/>
        <v>352.00000000000006</v>
      </c>
      <c r="AM198" s="471">
        <f t="shared" si="306"/>
        <v>117.60802996580874</v>
      </c>
      <c r="AO198">
        <f t="shared" si="307"/>
        <v>352.00000000000006</v>
      </c>
      <c r="AP198">
        <f t="shared" si="308"/>
        <v>117.60802996580874</v>
      </c>
      <c r="AR198" s="5">
        <f t="shared" ref="AR198:AR262" si="322">1/AM198*1000</f>
        <v>8.5028207707477304</v>
      </c>
      <c r="AS198" s="5">
        <f t="shared" si="313"/>
        <v>4.5188526872737391</v>
      </c>
      <c r="AT198" s="5">
        <f t="shared" si="314"/>
        <v>3.9839680834739912</v>
      </c>
      <c r="AU198" s="178">
        <f t="shared" si="315"/>
        <v>0.53145336225596529</v>
      </c>
      <c r="AW198" s="5">
        <f t="shared" si="254"/>
        <v>13.25530121600297</v>
      </c>
      <c r="AX198" s="5">
        <f t="shared" si="255"/>
        <v>6.6276506080014848</v>
      </c>
      <c r="AY198" s="5">
        <f t="shared" si="256"/>
        <v>0.68340972971873526</v>
      </c>
      <c r="AZ198" s="5"/>
      <c r="BA198" s="178">
        <f t="shared" si="257"/>
        <v>0.48907402854941845</v>
      </c>
      <c r="BB198" s="178">
        <f t="shared" si="258"/>
        <v>0.91843500934780142</v>
      </c>
      <c r="BC198" s="178">
        <f t="shared" si="259"/>
        <v>0.45921750467390071</v>
      </c>
      <c r="BD198" s="178"/>
      <c r="BE198" s="545">
        <f t="shared" si="260"/>
        <v>8.3717691890545079E-2</v>
      </c>
      <c r="BF198" s="545">
        <f t="shared" si="261"/>
        <v>4.725E-2</v>
      </c>
      <c r="BG198" s="545">
        <f t="shared" si="262"/>
        <v>1.4701003745726091E-3</v>
      </c>
      <c r="BH198" s="545">
        <f t="shared" si="263"/>
        <v>1.249708806818182E-2</v>
      </c>
      <c r="BI198">
        <f t="shared" si="264"/>
        <v>6.2640000000000005E-3</v>
      </c>
      <c r="BK198" s="471">
        <f t="shared" si="265"/>
        <v>151.19888033329948</v>
      </c>
      <c r="BL198" s="178">
        <f t="shared" si="266"/>
        <v>0.10560000000000001</v>
      </c>
      <c r="BM198" s="178">
        <f t="shared" si="267"/>
        <v>5.2800000000000007E-2</v>
      </c>
      <c r="BN198" s="545"/>
      <c r="BP198" s="471">
        <f t="shared" si="268"/>
        <v>158.4</v>
      </c>
      <c r="BQ198" s="545">
        <f t="shared" si="269"/>
        <v>2.2723373513147949E-2</v>
      </c>
      <c r="BR198" s="545">
        <f t="shared" si="270"/>
        <v>7.5917057975612642E-2</v>
      </c>
      <c r="BS198" s="545">
        <f t="shared" si="271"/>
        <v>2.1088071659892405E-2</v>
      </c>
      <c r="BT198" s="545">
        <f t="shared" si="272"/>
        <v>1.0916139186003943E-2</v>
      </c>
      <c r="BU198" s="545"/>
      <c r="BV198" s="655">
        <f t="shared" si="309"/>
        <v>3.572932330827068E-2</v>
      </c>
      <c r="BW198" s="471">
        <f t="shared" si="316"/>
        <v>166.3739656429276</v>
      </c>
      <c r="BX198" s="178">
        <f t="shared" si="317"/>
        <v>0.47597284597622713</v>
      </c>
      <c r="BY198" s="5">
        <f t="shared" si="318"/>
        <v>6.3360000000000003</v>
      </c>
      <c r="BZ198" s="178">
        <f t="shared" si="319"/>
        <v>0.93012701947903675</v>
      </c>
      <c r="CA198" s="5">
        <f t="shared" si="320"/>
        <v>93.012701947903679</v>
      </c>
      <c r="CB198">
        <f t="shared" si="321"/>
        <v>88</v>
      </c>
      <c r="CD198" s="580">
        <f t="shared" si="310"/>
        <v>-50</v>
      </c>
      <c r="CE198">
        <f t="shared" si="311"/>
        <v>-50</v>
      </c>
    </row>
    <row r="199" spans="5:83" x14ac:dyDescent="0.2">
      <c r="E199" s="175">
        <v>89</v>
      </c>
      <c r="F199" s="222">
        <f t="shared" si="312"/>
        <v>0.35600000000000004</v>
      </c>
      <c r="G199" s="222">
        <f t="shared" si="279"/>
        <v>0.17800000000000002</v>
      </c>
      <c r="H199" s="222">
        <f t="shared" si="280"/>
        <v>4.2720000000000002</v>
      </c>
      <c r="I199" s="222">
        <f t="shared" si="281"/>
        <v>2.1360000000000001</v>
      </c>
      <c r="J199" s="558">
        <f t="shared" si="282"/>
        <v>21.6</v>
      </c>
      <c r="K199" s="453">
        <f t="shared" si="283"/>
        <v>24.5</v>
      </c>
      <c r="L199" s="453">
        <f t="shared" si="284"/>
        <v>46.1</v>
      </c>
      <c r="M199" s="453"/>
      <c r="N199" s="222">
        <f t="shared" si="285"/>
        <v>0.53145336225596529</v>
      </c>
      <c r="O199" s="177">
        <f t="shared" si="286"/>
        <v>5.2709544468546632</v>
      </c>
      <c r="P199" s="177">
        <f t="shared" si="287"/>
        <v>3.9532158351409978</v>
      </c>
      <c r="Q199" s="222">
        <f t="shared" si="288"/>
        <v>0.43924620390455527</v>
      </c>
      <c r="R199" s="222">
        <f t="shared" si="289"/>
        <v>0.43924620390455527</v>
      </c>
      <c r="S199" s="222">
        <f t="shared" si="290"/>
        <v>12</v>
      </c>
      <c r="T199" s="222">
        <f t="shared" si="291"/>
        <v>1.1751951306838526</v>
      </c>
      <c r="U199" s="222">
        <f t="shared" si="292"/>
        <v>4.5702032859927595</v>
      </c>
      <c r="V199" s="222">
        <f t="shared" si="293"/>
        <v>4.029240448058923</v>
      </c>
      <c r="W199" s="202">
        <f t="shared" si="294"/>
        <v>350</v>
      </c>
      <c r="X199" s="453">
        <f t="shared" si="295"/>
        <v>116.28659142686705</v>
      </c>
      <c r="Z199" s="222">
        <f t="shared" si="296"/>
        <v>0.39045553145336231</v>
      </c>
      <c r="AA199" s="178">
        <f t="shared" si="297"/>
        <v>1.3387046792686708</v>
      </c>
      <c r="AB199" s="178">
        <f t="shared" si="298"/>
        <v>0.12196441763402208</v>
      </c>
      <c r="AC199" s="178"/>
      <c r="AD199" s="178">
        <f t="shared" si="299"/>
        <v>0.99428571428571422</v>
      </c>
      <c r="AE199" s="562">
        <f t="shared" si="300"/>
        <v>1234.6413000396358</v>
      </c>
      <c r="AF199" s="545">
        <f t="shared" si="301"/>
        <v>0.10091999999999998</v>
      </c>
      <c r="AH199" s="178">
        <f t="shared" si="302"/>
        <v>0.66024114333093398</v>
      </c>
      <c r="AI199" s="178">
        <f t="shared" si="303"/>
        <v>1.1751951306838526</v>
      </c>
      <c r="AJ199" s="178">
        <f t="shared" si="304"/>
        <v>1.8557000968028536</v>
      </c>
      <c r="AL199" s="562">
        <f t="shared" si="305"/>
        <v>356.00000000000006</v>
      </c>
      <c r="AM199" s="471">
        <f t="shared" si="306"/>
        <v>116.28659142686705</v>
      </c>
      <c r="AO199">
        <f t="shared" si="307"/>
        <v>356.00000000000006</v>
      </c>
      <c r="AP199">
        <f t="shared" si="308"/>
        <v>116.28659142686705</v>
      </c>
      <c r="AR199" s="5">
        <f t="shared" si="322"/>
        <v>8.5994437340516825</v>
      </c>
      <c r="AS199" s="5">
        <f t="shared" si="313"/>
        <v>4.5702032859927595</v>
      </c>
      <c r="AT199" s="5">
        <f t="shared" si="314"/>
        <v>4.029240448058923</v>
      </c>
      <c r="AU199" s="178">
        <f t="shared" si="315"/>
        <v>0.53145336225596529</v>
      </c>
      <c r="AW199" s="5">
        <f t="shared" si="254"/>
        <v>13.558269748445188</v>
      </c>
      <c r="AX199" s="5">
        <f t="shared" si="255"/>
        <v>6.7791348742225939</v>
      </c>
      <c r="AY199" s="5">
        <f t="shared" si="256"/>
        <v>0.69903001925388708</v>
      </c>
      <c r="AZ199" s="5"/>
      <c r="BA199" s="178">
        <f t="shared" si="257"/>
        <v>0.49463168796475282</v>
      </c>
      <c r="BB199" s="178">
        <f t="shared" si="258"/>
        <v>0.92887177081766292</v>
      </c>
      <c r="BC199" s="178">
        <f t="shared" si="259"/>
        <v>0.46443588540883146</v>
      </c>
      <c r="BD199" s="178"/>
      <c r="BE199" s="545">
        <f t="shared" si="260"/>
        <v>8.5631177358601207E-2</v>
      </c>
      <c r="BF199" s="545">
        <f t="shared" si="261"/>
        <v>4.7249999999999993E-2</v>
      </c>
      <c r="BG199" s="545">
        <f t="shared" si="262"/>
        <v>1.453582392835838E-3</v>
      </c>
      <c r="BH199" s="545">
        <f t="shared" si="263"/>
        <v>1.2356671348314606E-2</v>
      </c>
      <c r="BI199">
        <f t="shared" si="264"/>
        <v>6.2640000000000005E-3</v>
      </c>
      <c r="BK199" s="471">
        <f t="shared" si="265"/>
        <v>152.95543109975162</v>
      </c>
      <c r="BL199" s="178">
        <f t="shared" si="266"/>
        <v>0.10680000000000001</v>
      </c>
      <c r="BM199" s="178">
        <f t="shared" si="267"/>
        <v>5.3400000000000003E-2</v>
      </c>
      <c r="BN199" s="545"/>
      <c r="BP199" s="471">
        <f t="shared" si="268"/>
        <v>160.20000000000002</v>
      </c>
      <c r="BQ199" s="545">
        <f t="shared" si="269"/>
        <v>2.3242748140191758E-2</v>
      </c>
      <c r="BR199" s="545">
        <f t="shared" si="270"/>
        <v>7.7652248995974671E-2</v>
      </c>
      <c r="BS199" s="545">
        <f t="shared" si="271"/>
        <v>2.1570069165548524E-2</v>
      </c>
      <c r="BT199" s="545">
        <f t="shared" si="272"/>
        <v>1.0916139186003954E-2</v>
      </c>
      <c r="BU199" s="545"/>
      <c r="BV199" s="655">
        <f t="shared" si="309"/>
        <v>3.6135338345864673E-2</v>
      </c>
      <c r="BW199" s="471">
        <f t="shared" si="316"/>
        <v>169.51654383358357</v>
      </c>
      <c r="BX199" s="178">
        <f t="shared" si="317"/>
        <v>0.48267197493333525</v>
      </c>
      <c r="BY199" s="5">
        <f t="shared" si="318"/>
        <v>6.4080000000000004</v>
      </c>
      <c r="BZ199" s="178">
        <f t="shared" si="319"/>
        <v>0.92995284397672917</v>
      </c>
      <c r="CA199" s="5">
        <f t="shared" si="320"/>
        <v>92.995284397672918</v>
      </c>
      <c r="CB199">
        <f t="shared" si="321"/>
        <v>89</v>
      </c>
      <c r="CD199" s="580">
        <f t="shared" si="310"/>
        <v>-50</v>
      </c>
      <c r="CE199">
        <f t="shared" si="311"/>
        <v>-50</v>
      </c>
    </row>
    <row r="200" spans="5:83" x14ac:dyDescent="0.2">
      <c r="E200" s="175">
        <v>90</v>
      </c>
      <c r="F200" s="222">
        <f t="shared" si="312"/>
        <v>0.36000000000000004</v>
      </c>
      <c r="G200" s="222">
        <f t="shared" si="279"/>
        <v>0.18000000000000002</v>
      </c>
      <c r="H200" s="222">
        <f t="shared" si="280"/>
        <v>4.32</v>
      </c>
      <c r="I200" s="222">
        <f t="shared" si="281"/>
        <v>2.16</v>
      </c>
      <c r="J200" s="558">
        <f t="shared" si="282"/>
        <v>21.6</v>
      </c>
      <c r="K200" s="453">
        <f t="shared" si="283"/>
        <v>24.5</v>
      </c>
      <c r="L200" s="453">
        <f t="shared" si="284"/>
        <v>46.1</v>
      </c>
      <c r="M200" s="453"/>
      <c r="N200" s="222">
        <f t="shared" si="285"/>
        <v>0.53145336225596529</v>
      </c>
      <c r="O200" s="177">
        <f t="shared" si="286"/>
        <v>5.2709544468546632</v>
      </c>
      <c r="P200" s="177">
        <f t="shared" si="287"/>
        <v>3.9532158351409978</v>
      </c>
      <c r="Q200" s="222">
        <f t="shared" si="288"/>
        <v>0.43924620390455527</v>
      </c>
      <c r="R200" s="222">
        <f t="shared" si="289"/>
        <v>0.43924620390455527</v>
      </c>
      <c r="S200" s="222">
        <f t="shared" si="290"/>
        <v>12</v>
      </c>
      <c r="T200" s="222">
        <f t="shared" si="291"/>
        <v>1.1883995703544576</v>
      </c>
      <c r="U200" s="222">
        <f t="shared" si="292"/>
        <v>4.6215538847117799</v>
      </c>
      <c r="V200" s="222">
        <f t="shared" si="293"/>
        <v>4.0745128126438539</v>
      </c>
      <c r="W200" s="202">
        <f t="shared" si="294"/>
        <v>350</v>
      </c>
      <c r="X200" s="453">
        <f t="shared" si="295"/>
        <v>114.99451818879076</v>
      </c>
      <c r="Z200" s="222">
        <f t="shared" si="296"/>
        <v>0.39045553145336231</v>
      </c>
      <c r="AA200" s="178">
        <f t="shared" si="297"/>
        <v>1.3387046792686708</v>
      </c>
      <c r="AB200" s="178">
        <f t="shared" si="298"/>
        <v>0.12196441763402208</v>
      </c>
      <c r="AC200" s="178"/>
      <c r="AD200" s="178">
        <f t="shared" si="299"/>
        <v>0.99428571428571422</v>
      </c>
      <c r="AE200" s="562">
        <f t="shared" si="300"/>
        <v>1248.5136741973847</v>
      </c>
      <c r="AF200" s="545">
        <f t="shared" si="301"/>
        <v>0.10091999999999998</v>
      </c>
      <c r="AH200" s="178">
        <f t="shared" si="302"/>
        <v>0.66394000220698579</v>
      </c>
      <c r="AI200" s="178">
        <f t="shared" si="303"/>
        <v>1.1883995703544576</v>
      </c>
      <c r="AJ200" s="178">
        <f t="shared" si="304"/>
        <v>1.8654811632255242</v>
      </c>
      <c r="AL200" s="562">
        <f t="shared" si="305"/>
        <v>360.00000000000006</v>
      </c>
      <c r="AM200" s="471">
        <f t="shared" si="306"/>
        <v>114.99451818879076</v>
      </c>
      <c r="AO200">
        <f t="shared" si="307"/>
        <v>360.00000000000006</v>
      </c>
      <c r="AP200">
        <f t="shared" si="308"/>
        <v>114.99451818879076</v>
      </c>
      <c r="AR200" s="5">
        <f t="shared" si="322"/>
        <v>8.6960666973556346</v>
      </c>
      <c r="AS200" s="5">
        <f t="shared" si="313"/>
        <v>4.6215538847117799</v>
      </c>
      <c r="AT200" s="5">
        <f t="shared" si="314"/>
        <v>4.0745128126438548</v>
      </c>
      <c r="AU200" s="178">
        <f t="shared" si="315"/>
        <v>0.53145336225596529</v>
      </c>
      <c r="AW200" s="5">
        <f t="shared" si="254"/>
        <v>13.86466165413534</v>
      </c>
      <c r="AX200" s="5">
        <f t="shared" si="255"/>
        <v>6.9323308270676698</v>
      </c>
      <c r="AY200" s="5">
        <f t="shared" si="256"/>
        <v>0.71482680923576392</v>
      </c>
      <c r="AZ200" s="5"/>
      <c r="BA200" s="178">
        <f t="shared" si="257"/>
        <v>0.50018934738008713</v>
      </c>
      <c r="BB200" s="178">
        <f t="shared" si="258"/>
        <v>0.9393085322875242</v>
      </c>
      <c r="BC200" s="178">
        <f t="shared" si="259"/>
        <v>0.4696542661437621</v>
      </c>
      <c r="BD200" s="178"/>
      <c r="BE200" s="545">
        <f t="shared" si="260"/>
        <v>8.7566284131381122E-2</v>
      </c>
      <c r="BF200" s="545">
        <f t="shared" si="261"/>
        <v>4.725E-2</v>
      </c>
      <c r="BG200" s="545">
        <f t="shared" si="262"/>
        <v>1.4374314773598846E-3</v>
      </c>
      <c r="BH200" s="545">
        <f t="shared" si="263"/>
        <v>1.2219375000000001E-2</v>
      </c>
      <c r="BI200">
        <f t="shared" si="264"/>
        <v>6.2640000000000005E-3</v>
      </c>
      <c r="BK200" s="471">
        <f t="shared" si="265"/>
        <v>154.73709060874103</v>
      </c>
      <c r="BL200" s="178">
        <f t="shared" si="266"/>
        <v>0.10800000000000001</v>
      </c>
      <c r="BM200" s="178">
        <f t="shared" si="267"/>
        <v>5.4000000000000006E-2</v>
      </c>
      <c r="BN200" s="545"/>
      <c r="BP200" s="471">
        <f t="shared" si="268"/>
        <v>162.00000000000003</v>
      </c>
      <c r="BQ200" s="545">
        <f t="shared" si="269"/>
        <v>2.3767991407089163E-2</v>
      </c>
      <c r="BR200" s="545">
        <f t="shared" si="270"/>
        <v>7.9407046694532857E-2</v>
      </c>
      <c r="BS200" s="545">
        <f t="shared" si="271"/>
        <v>2.2057512970703574E-2</v>
      </c>
      <c r="BT200" s="545">
        <f t="shared" si="272"/>
        <v>1.0916139186003959E-2</v>
      </c>
      <c r="BU200" s="545"/>
      <c r="BV200" s="655">
        <f t="shared" si="309"/>
        <v>3.6541353383458652E-2</v>
      </c>
      <c r="BW200" s="471">
        <f t="shared" si="316"/>
        <v>172.69004364178818</v>
      </c>
      <c r="BX200" s="178">
        <f t="shared" si="317"/>
        <v>0.48942713425052931</v>
      </c>
      <c r="BY200" s="5">
        <f t="shared" si="318"/>
        <v>6.48</v>
      </c>
      <c r="BZ200" s="178">
        <f t="shared" si="319"/>
        <v>0.9297751271628496</v>
      </c>
      <c r="CA200" s="5">
        <f t="shared" si="320"/>
        <v>92.977512716284963</v>
      </c>
      <c r="CB200">
        <f t="shared" si="321"/>
        <v>90</v>
      </c>
      <c r="CD200" s="580">
        <f t="shared" si="310"/>
        <v>-50</v>
      </c>
      <c r="CE200">
        <f t="shared" si="311"/>
        <v>-50</v>
      </c>
    </row>
    <row r="201" spans="5:83" x14ac:dyDescent="0.2">
      <c r="E201" s="175">
        <v>91</v>
      </c>
      <c r="F201" s="222">
        <f t="shared" si="312"/>
        <v>0.36400000000000005</v>
      </c>
      <c r="G201" s="222">
        <f t="shared" si="279"/>
        <v>0.18200000000000002</v>
      </c>
      <c r="H201" s="222">
        <f t="shared" si="280"/>
        <v>4.3680000000000003</v>
      </c>
      <c r="I201" s="222">
        <f t="shared" si="281"/>
        <v>2.1840000000000002</v>
      </c>
      <c r="J201" s="558">
        <f t="shared" si="282"/>
        <v>21.6</v>
      </c>
      <c r="K201" s="453">
        <f t="shared" si="283"/>
        <v>24.5</v>
      </c>
      <c r="L201" s="453">
        <f t="shared" si="284"/>
        <v>46.1</v>
      </c>
      <c r="M201" s="453"/>
      <c r="N201" s="222">
        <f t="shared" si="285"/>
        <v>0.53145336225596529</v>
      </c>
      <c r="O201" s="177">
        <f t="shared" si="286"/>
        <v>5.2709544468546632</v>
      </c>
      <c r="P201" s="177">
        <f t="shared" si="287"/>
        <v>3.9532158351409978</v>
      </c>
      <c r="Q201" s="222">
        <f t="shared" si="288"/>
        <v>0.43924620390455527</v>
      </c>
      <c r="R201" s="222">
        <f t="shared" si="289"/>
        <v>0.43924620390455527</v>
      </c>
      <c r="S201" s="222">
        <f t="shared" si="290"/>
        <v>12</v>
      </c>
      <c r="T201" s="222">
        <f t="shared" si="291"/>
        <v>1.2016040100250627</v>
      </c>
      <c r="U201" s="222">
        <f t="shared" si="292"/>
        <v>4.6729044834307985</v>
      </c>
      <c r="V201" s="222">
        <f t="shared" si="293"/>
        <v>4.1197851772287857</v>
      </c>
      <c r="W201" s="202">
        <f t="shared" si="294"/>
        <v>350</v>
      </c>
      <c r="X201" s="453">
        <f t="shared" si="295"/>
        <v>113.73084216473814</v>
      </c>
      <c r="Z201" s="222">
        <f t="shared" si="296"/>
        <v>0.39045553145336231</v>
      </c>
      <c r="AA201" s="178">
        <f t="shared" si="297"/>
        <v>1.3387046792686708</v>
      </c>
      <c r="AB201" s="178">
        <f t="shared" si="298"/>
        <v>0.12196441763402208</v>
      </c>
      <c r="AC201" s="178"/>
      <c r="AD201" s="178">
        <f t="shared" si="299"/>
        <v>0.99428571428571422</v>
      </c>
      <c r="AE201" s="562">
        <f t="shared" si="300"/>
        <v>1262.3860483551332</v>
      </c>
      <c r="AF201" s="545">
        <f t="shared" si="301"/>
        <v>0.10091999999999998</v>
      </c>
      <c r="AH201" s="178">
        <f t="shared" si="302"/>
        <v>0.66761836831702415</v>
      </c>
      <c r="AI201" s="178">
        <f t="shared" si="303"/>
        <v>1.2016040100250627</v>
      </c>
      <c r="AJ201" s="178">
        <f t="shared" si="304"/>
        <v>1.8752622296481944</v>
      </c>
      <c r="AL201" s="562">
        <f t="shared" si="305"/>
        <v>364.00000000000006</v>
      </c>
      <c r="AM201" s="471">
        <f t="shared" si="306"/>
        <v>113.73084216473814</v>
      </c>
      <c r="AO201">
        <f t="shared" si="307"/>
        <v>364.00000000000006</v>
      </c>
      <c r="AP201">
        <f t="shared" si="308"/>
        <v>113.73084216473814</v>
      </c>
      <c r="AR201" s="5">
        <f t="shared" si="322"/>
        <v>8.7926896606595832</v>
      </c>
      <c r="AS201" s="5">
        <f t="shared" si="313"/>
        <v>4.6729044834307985</v>
      </c>
      <c r="AT201" s="5">
        <f t="shared" si="314"/>
        <v>4.1197851772287848</v>
      </c>
      <c r="AU201" s="178">
        <f t="shared" si="315"/>
        <v>0.53145336225596529</v>
      </c>
      <c r="AW201" s="5">
        <f t="shared" si="254"/>
        <v>14.174476933073423</v>
      </c>
      <c r="AX201" s="5">
        <f t="shared" si="255"/>
        <v>7.0872384665367116</v>
      </c>
      <c r="AY201" s="5">
        <f t="shared" si="256"/>
        <v>0.73080009966436521</v>
      </c>
      <c r="AZ201" s="5"/>
      <c r="BA201" s="178">
        <f t="shared" si="257"/>
        <v>0.50574700679542139</v>
      </c>
      <c r="BB201" s="178">
        <f t="shared" si="258"/>
        <v>0.94974529375738559</v>
      </c>
      <c r="BC201" s="178">
        <f t="shared" si="259"/>
        <v>0.47487264687869279</v>
      </c>
      <c r="BD201" s="178"/>
      <c r="BE201" s="545">
        <f t="shared" si="260"/>
        <v>8.9523012208884811E-2</v>
      </c>
      <c r="BF201" s="545">
        <f t="shared" si="261"/>
        <v>4.7250000000000007E-2</v>
      </c>
      <c r="BG201" s="545">
        <f t="shared" si="262"/>
        <v>1.4216355270592266E-3</v>
      </c>
      <c r="BH201" s="545">
        <f t="shared" si="263"/>
        <v>1.2085096153846156E-2</v>
      </c>
      <c r="BI201">
        <f t="shared" si="264"/>
        <v>6.2640000000000005E-3</v>
      </c>
      <c r="BK201" s="471">
        <f t="shared" si="265"/>
        <v>156.54374388979019</v>
      </c>
      <c r="BL201" s="178">
        <f t="shared" si="266"/>
        <v>0.10920000000000001</v>
      </c>
      <c r="BM201" s="178">
        <f t="shared" si="267"/>
        <v>5.4600000000000003E-2</v>
      </c>
      <c r="BN201" s="545"/>
      <c r="BP201" s="471">
        <f t="shared" si="268"/>
        <v>163.80000000000001</v>
      </c>
      <c r="BQ201" s="545">
        <f t="shared" si="269"/>
        <v>2.4299103313840165E-2</v>
      </c>
      <c r="BR201" s="545">
        <f t="shared" si="270"/>
        <v>8.1181451071287242E-2</v>
      </c>
      <c r="BS201" s="545">
        <f t="shared" si="271"/>
        <v>2.2550403075357568E-2</v>
      </c>
      <c r="BT201" s="545">
        <f t="shared" si="272"/>
        <v>1.0916139186003952E-2</v>
      </c>
      <c r="BU201" s="545"/>
      <c r="BV201" s="655">
        <f t="shared" si="309"/>
        <v>3.6947368421052638E-2</v>
      </c>
      <c r="BW201" s="471">
        <f t="shared" si="316"/>
        <v>175.89446506754157</v>
      </c>
      <c r="BX201" s="178">
        <f t="shared" si="317"/>
        <v>0.49623820895733173</v>
      </c>
      <c r="BY201" s="5">
        <f t="shared" si="318"/>
        <v>6.5520000000000005</v>
      </c>
      <c r="BZ201" s="178">
        <f t="shared" si="319"/>
        <v>0.92959400714824292</v>
      </c>
      <c r="CA201" s="5">
        <f t="shared" si="320"/>
        <v>92.959400714824298</v>
      </c>
      <c r="CB201">
        <f t="shared" si="321"/>
        <v>91</v>
      </c>
      <c r="CD201" s="580">
        <f t="shared" si="310"/>
        <v>-50</v>
      </c>
      <c r="CE201">
        <f t="shared" si="311"/>
        <v>-50</v>
      </c>
    </row>
    <row r="202" spans="5:83" x14ac:dyDescent="0.2">
      <c r="E202" s="175">
        <v>92</v>
      </c>
      <c r="F202" s="222">
        <f t="shared" si="312"/>
        <v>0.36800000000000005</v>
      </c>
      <c r="G202" s="222">
        <f t="shared" si="279"/>
        <v>0.18400000000000002</v>
      </c>
      <c r="H202" s="222">
        <f t="shared" si="280"/>
        <v>4.4160000000000004</v>
      </c>
      <c r="I202" s="222">
        <f t="shared" si="281"/>
        <v>2.2080000000000002</v>
      </c>
      <c r="J202" s="558">
        <f t="shared" si="282"/>
        <v>21.6</v>
      </c>
      <c r="K202" s="453">
        <f t="shared" si="283"/>
        <v>24.5</v>
      </c>
      <c r="L202" s="453">
        <f t="shared" si="284"/>
        <v>46.1</v>
      </c>
      <c r="M202" s="453"/>
      <c r="N202" s="222">
        <f t="shared" si="285"/>
        <v>0.53145336225596529</v>
      </c>
      <c r="O202" s="177">
        <f t="shared" si="286"/>
        <v>5.2709544468546632</v>
      </c>
      <c r="P202" s="177">
        <f t="shared" si="287"/>
        <v>3.9532158351409978</v>
      </c>
      <c r="Q202" s="222">
        <f t="shared" si="288"/>
        <v>0.43924620390455527</v>
      </c>
      <c r="R202" s="222">
        <f t="shared" si="289"/>
        <v>0.43924620390455527</v>
      </c>
      <c r="S202" s="222">
        <f t="shared" si="290"/>
        <v>12</v>
      </c>
      <c r="T202" s="222">
        <f t="shared" si="291"/>
        <v>1.2148084496956679</v>
      </c>
      <c r="U202" s="222">
        <f t="shared" si="292"/>
        <v>4.7242550821498188</v>
      </c>
      <c r="V202" s="222">
        <f t="shared" si="293"/>
        <v>4.1650575418137183</v>
      </c>
      <c r="W202" s="202">
        <f t="shared" si="294"/>
        <v>350</v>
      </c>
      <c r="X202" s="453">
        <f t="shared" si="295"/>
        <v>112.49463735859965</v>
      </c>
      <c r="Z202" s="222">
        <f t="shared" si="296"/>
        <v>0.39045553145336231</v>
      </c>
      <c r="AA202" s="178">
        <f t="shared" si="297"/>
        <v>1.3387046792686708</v>
      </c>
      <c r="AB202" s="178">
        <f t="shared" si="298"/>
        <v>0.12196441763402208</v>
      </c>
      <c r="AC202" s="178"/>
      <c r="AD202" s="178">
        <f t="shared" si="299"/>
        <v>0.99428571428571422</v>
      </c>
      <c r="AE202" s="562">
        <f t="shared" si="300"/>
        <v>1276.2584225128819</v>
      </c>
      <c r="AF202" s="545">
        <f t="shared" si="301"/>
        <v>0.10091999999999998</v>
      </c>
      <c r="AH202" s="178">
        <f t="shared" si="302"/>
        <v>0.67127657854118461</v>
      </c>
      <c r="AI202" s="178">
        <f t="shared" si="303"/>
        <v>1.2148084496956679</v>
      </c>
      <c r="AJ202" s="178">
        <f t="shared" si="304"/>
        <v>1.8850432960708652</v>
      </c>
      <c r="AL202" s="562">
        <f t="shared" si="305"/>
        <v>368.00000000000006</v>
      </c>
      <c r="AM202" s="471">
        <f t="shared" si="306"/>
        <v>112.49463735859965</v>
      </c>
      <c r="AO202">
        <f t="shared" si="307"/>
        <v>368.00000000000006</v>
      </c>
      <c r="AP202">
        <f t="shared" si="308"/>
        <v>112.49463735859965</v>
      </c>
      <c r="AR202" s="5">
        <f t="shared" si="322"/>
        <v>8.8893126239635372</v>
      </c>
      <c r="AS202" s="5">
        <f t="shared" si="313"/>
        <v>4.7242550821498188</v>
      </c>
      <c r="AT202" s="5">
        <f t="shared" si="314"/>
        <v>4.1650575418137183</v>
      </c>
      <c r="AU202" s="178">
        <f t="shared" si="315"/>
        <v>0.53145336225596529</v>
      </c>
      <c r="AW202" s="5">
        <f t="shared" si="254"/>
        <v>14.487715585259446</v>
      </c>
      <c r="AX202" s="5">
        <f t="shared" si="255"/>
        <v>7.243857792629723</v>
      </c>
      <c r="AY202" s="5">
        <f t="shared" si="256"/>
        <v>0.74694989053969219</v>
      </c>
      <c r="AZ202" s="5"/>
      <c r="BA202" s="178">
        <f t="shared" si="257"/>
        <v>0.51130466621075576</v>
      </c>
      <c r="BB202" s="178">
        <f t="shared" si="258"/>
        <v>0.96018205522724709</v>
      </c>
      <c r="BC202" s="178">
        <f t="shared" si="259"/>
        <v>0.48009102761362354</v>
      </c>
      <c r="BD202" s="178"/>
      <c r="BE202" s="545">
        <f t="shared" si="260"/>
        <v>9.1501361591112329E-2</v>
      </c>
      <c r="BF202" s="545">
        <f t="shared" si="261"/>
        <v>4.725E-2</v>
      </c>
      <c r="BG202" s="545">
        <f t="shared" si="262"/>
        <v>1.4061829669824956E-3</v>
      </c>
      <c r="BH202" s="545">
        <f t="shared" si="263"/>
        <v>1.1953736413043477E-2</v>
      </c>
      <c r="BI202">
        <f t="shared" si="264"/>
        <v>6.2640000000000005E-3</v>
      </c>
      <c r="BK202" s="471">
        <f t="shared" si="265"/>
        <v>158.37528097113832</v>
      </c>
      <c r="BL202" s="178">
        <f t="shared" si="266"/>
        <v>0.11040000000000001</v>
      </c>
      <c r="BM202" s="178">
        <f t="shared" si="267"/>
        <v>5.5200000000000006E-2</v>
      </c>
      <c r="BN202" s="545"/>
      <c r="BP202" s="471">
        <f t="shared" si="268"/>
        <v>165.60000000000002</v>
      </c>
      <c r="BQ202" s="545">
        <f t="shared" si="269"/>
        <v>2.4836083860444776E-2</v>
      </c>
      <c r="BR202" s="545">
        <f t="shared" si="270"/>
        <v>8.2975462126237812E-2</v>
      </c>
      <c r="BS202" s="545">
        <f t="shared" si="271"/>
        <v>2.3048739479510506E-2</v>
      </c>
      <c r="BT202" s="545">
        <f t="shared" si="272"/>
        <v>1.0916139186003933E-2</v>
      </c>
      <c r="BU202" s="545"/>
      <c r="BV202" s="655">
        <f t="shared" si="309"/>
        <v>3.7353383458646625E-2</v>
      </c>
      <c r="BW202" s="471">
        <f t="shared" si="316"/>
        <v>179.12980811084367</v>
      </c>
      <c r="BX202" s="178">
        <f t="shared" si="317"/>
        <v>0.50310508908198204</v>
      </c>
      <c r="BY202" s="5">
        <f t="shared" si="318"/>
        <v>6.6240000000000006</v>
      </c>
      <c r="BZ202" s="178">
        <f t="shared" si="319"/>
        <v>0.92940961543380507</v>
      </c>
      <c r="CA202" s="5">
        <f t="shared" si="320"/>
        <v>92.94096154338051</v>
      </c>
      <c r="CB202">
        <f t="shared" si="321"/>
        <v>92</v>
      </c>
      <c r="CD202" s="580">
        <f t="shared" si="310"/>
        <v>-50</v>
      </c>
      <c r="CE202">
        <f t="shared" si="311"/>
        <v>-50</v>
      </c>
    </row>
    <row r="203" spans="5:83" x14ac:dyDescent="0.2">
      <c r="E203" s="175">
        <v>93</v>
      </c>
      <c r="F203" s="222">
        <f t="shared" si="312"/>
        <v>0.37200000000000005</v>
      </c>
      <c r="G203" s="222">
        <f t="shared" si="279"/>
        <v>0.18600000000000003</v>
      </c>
      <c r="H203" s="222">
        <f t="shared" si="280"/>
        <v>4.4640000000000004</v>
      </c>
      <c r="I203" s="222">
        <f t="shared" si="281"/>
        <v>2.2320000000000002</v>
      </c>
      <c r="J203" s="558">
        <f t="shared" si="282"/>
        <v>21.6</v>
      </c>
      <c r="K203" s="453">
        <f t="shared" si="283"/>
        <v>24.5</v>
      </c>
      <c r="L203" s="453">
        <f t="shared" si="284"/>
        <v>46.1</v>
      </c>
      <c r="M203" s="453"/>
      <c r="N203" s="222">
        <f t="shared" si="285"/>
        <v>0.53145336225596529</v>
      </c>
      <c r="O203" s="177">
        <f t="shared" si="286"/>
        <v>5.2709544468546632</v>
      </c>
      <c r="P203" s="177">
        <f t="shared" si="287"/>
        <v>3.9532158351409978</v>
      </c>
      <c r="Q203" s="222">
        <f t="shared" si="288"/>
        <v>0.43924620390455527</v>
      </c>
      <c r="R203" s="222">
        <f t="shared" si="289"/>
        <v>0.43924620390455527</v>
      </c>
      <c r="S203" s="222">
        <f t="shared" si="290"/>
        <v>12</v>
      </c>
      <c r="T203" s="222">
        <f t="shared" si="291"/>
        <v>1.228012889366273</v>
      </c>
      <c r="U203" s="222">
        <f t="shared" si="292"/>
        <v>4.7756056808688392</v>
      </c>
      <c r="V203" s="222">
        <f t="shared" si="293"/>
        <v>4.2103299063986501</v>
      </c>
      <c r="W203" s="202">
        <f t="shared" si="294"/>
        <v>350</v>
      </c>
      <c r="X203" s="453">
        <f t="shared" si="295"/>
        <v>111.28501760205556</v>
      </c>
      <c r="Z203" s="222">
        <f t="shared" si="296"/>
        <v>0.39045553145336231</v>
      </c>
      <c r="AA203" s="178">
        <f t="shared" si="297"/>
        <v>1.3387046792686708</v>
      </c>
      <c r="AB203" s="178">
        <f t="shared" si="298"/>
        <v>0.12196441763402208</v>
      </c>
      <c r="AC203" s="178"/>
      <c r="AD203" s="178">
        <f t="shared" si="299"/>
        <v>0.99428571428571422</v>
      </c>
      <c r="AE203" s="562">
        <f t="shared" si="300"/>
        <v>1290.1307966706308</v>
      </c>
      <c r="AF203" s="545">
        <f t="shared" si="301"/>
        <v>0.10091999999999998</v>
      </c>
      <c r="AH203" s="178">
        <f t="shared" si="302"/>
        <v>0.67491496062958389</v>
      </c>
      <c r="AI203" s="178">
        <f t="shared" si="303"/>
        <v>1.228012889366273</v>
      </c>
      <c r="AJ203" s="178">
        <f t="shared" si="304"/>
        <v>1.8948243624935355</v>
      </c>
      <c r="AL203" s="562">
        <f t="shared" si="305"/>
        <v>372.00000000000006</v>
      </c>
      <c r="AM203" s="471">
        <f t="shared" si="306"/>
        <v>111.28501760205556</v>
      </c>
      <c r="AO203">
        <f t="shared" si="307"/>
        <v>372.00000000000006</v>
      </c>
      <c r="AP203">
        <f t="shared" si="308"/>
        <v>111.28501760205556</v>
      </c>
      <c r="AR203" s="5">
        <f t="shared" si="322"/>
        <v>8.9859355872674893</v>
      </c>
      <c r="AS203" s="5">
        <f t="shared" si="313"/>
        <v>4.7756056808688392</v>
      </c>
      <c r="AT203" s="5">
        <f t="shared" si="314"/>
        <v>4.2103299063986501</v>
      </c>
      <c r="AU203" s="178">
        <f t="shared" si="315"/>
        <v>0.53145336225596529</v>
      </c>
      <c r="AW203" s="5">
        <f t="shared" si="254"/>
        <v>14.804377610693402</v>
      </c>
      <c r="AX203" s="5">
        <f t="shared" si="255"/>
        <v>7.4021888053467011</v>
      </c>
      <c r="AY203" s="5">
        <f t="shared" si="256"/>
        <v>0.76327618186174351</v>
      </c>
      <c r="AZ203" s="5"/>
      <c r="BA203" s="178">
        <f t="shared" si="257"/>
        <v>0.51686232562609002</v>
      </c>
      <c r="BB203" s="178">
        <f t="shared" si="258"/>
        <v>0.97061881669710848</v>
      </c>
      <c r="BC203" s="178">
        <f t="shared" si="259"/>
        <v>0.48530940834855424</v>
      </c>
      <c r="BD203" s="178"/>
      <c r="BE203" s="545">
        <f t="shared" si="260"/>
        <v>9.3501332278063606E-2</v>
      </c>
      <c r="BF203" s="545">
        <f t="shared" si="261"/>
        <v>4.725E-2</v>
      </c>
      <c r="BG203" s="545">
        <f t="shared" si="262"/>
        <v>1.3910627200256944E-3</v>
      </c>
      <c r="BH203" s="545">
        <f t="shared" si="263"/>
        <v>1.1825201612903225E-2</v>
      </c>
      <c r="BI203">
        <f t="shared" si="264"/>
        <v>6.2640000000000005E-3</v>
      </c>
      <c r="BK203" s="471">
        <f t="shared" si="265"/>
        <v>160.23159661099254</v>
      </c>
      <c r="BL203" s="178">
        <f t="shared" si="266"/>
        <v>0.11160000000000002</v>
      </c>
      <c r="BM203" s="178">
        <f t="shared" si="267"/>
        <v>5.5800000000000009E-2</v>
      </c>
      <c r="BN203" s="545"/>
      <c r="BP203" s="471">
        <f t="shared" si="268"/>
        <v>167.40000000000003</v>
      </c>
      <c r="BQ203" s="545">
        <f t="shared" si="269"/>
        <v>2.5378933046902981E-2</v>
      </c>
      <c r="BR203" s="545">
        <f t="shared" si="270"/>
        <v>8.4789079859384553E-2</v>
      </c>
      <c r="BS203" s="545">
        <f t="shared" si="271"/>
        <v>2.355252218316238E-2</v>
      </c>
      <c r="BT203" s="545">
        <f t="shared" si="272"/>
        <v>1.0916139186003948E-2</v>
      </c>
      <c r="BU203" s="545"/>
      <c r="BV203" s="655">
        <f t="shared" si="309"/>
        <v>3.7759398496240604E-2</v>
      </c>
      <c r="BW203" s="471">
        <f t="shared" si="316"/>
        <v>182.39607277169449</v>
      </c>
      <c r="BX203" s="178">
        <f t="shared" si="317"/>
        <v>0.51002766938268707</v>
      </c>
      <c r="BY203" s="5">
        <f t="shared" si="318"/>
        <v>6.6960000000000006</v>
      </c>
      <c r="BZ203" s="178">
        <f t="shared" si="319"/>
        <v>0.92922207729652262</v>
      </c>
      <c r="CA203" s="5">
        <f t="shared" si="320"/>
        <v>92.922207729652257</v>
      </c>
      <c r="CB203">
        <f t="shared" si="321"/>
        <v>93</v>
      </c>
      <c r="CD203" s="580">
        <f t="shared" si="310"/>
        <v>-50</v>
      </c>
      <c r="CE203">
        <f t="shared" si="311"/>
        <v>-50</v>
      </c>
    </row>
    <row r="204" spans="5:83" x14ac:dyDescent="0.2">
      <c r="E204" s="175">
        <v>94</v>
      </c>
      <c r="F204" s="222">
        <f t="shared" si="312"/>
        <v>0.376</v>
      </c>
      <c r="G204" s="222">
        <f t="shared" si="279"/>
        <v>0.188</v>
      </c>
      <c r="H204" s="222">
        <f t="shared" si="280"/>
        <v>4.5120000000000005</v>
      </c>
      <c r="I204" s="222">
        <f t="shared" si="281"/>
        <v>2.2560000000000002</v>
      </c>
      <c r="J204" s="558">
        <f t="shared" si="282"/>
        <v>21.6</v>
      </c>
      <c r="K204" s="453">
        <f t="shared" si="283"/>
        <v>24.5</v>
      </c>
      <c r="L204" s="453">
        <f t="shared" si="284"/>
        <v>46.1</v>
      </c>
      <c r="M204" s="453"/>
      <c r="N204" s="222">
        <f t="shared" si="285"/>
        <v>0.53145336225596529</v>
      </c>
      <c r="O204" s="177">
        <f t="shared" si="286"/>
        <v>5.2709544468546632</v>
      </c>
      <c r="P204" s="177">
        <f t="shared" si="287"/>
        <v>3.9532158351409978</v>
      </c>
      <c r="Q204" s="222">
        <f t="shared" si="288"/>
        <v>0.43924620390455527</v>
      </c>
      <c r="R204" s="222">
        <f t="shared" si="289"/>
        <v>0.43924620390455527</v>
      </c>
      <c r="S204" s="222">
        <f t="shared" si="290"/>
        <v>12</v>
      </c>
      <c r="T204" s="222">
        <f t="shared" si="291"/>
        <v>1.241217329036878</v>
      </c>
      <c r="U204" s="222">
        <f t="shared" si="292"/>
        <v>4.8269562795878578</v>
      </c>
      <c r="V204" s="222">
        <f t="shared" si="293"/>
        <v>4.255602270983581</v>
      </c>
      <c r="W204" s="202">
        <f t="shared" si="294"/>
        <v>350</v>
      </c>
      <c r="X204" s="453">
        <f t="shared" si="295"/>
        <v>110.10113443607628</v>
      </c>
      <c r="Z204" s="222">
        <f t="shared" si="296"/>
        <v>0.39045553145336231</v>
      </c>
      <c r="AA204" s="178">
        <f t="shared" si="297"/>
        <v>1.3387046792686708</v>
      </c>
      <c r="AB204" s="178">
        <f t="shared" si="298"/>
        <v>0.12196441763402208</v>
      </c>
      <c r="AC204" s="178"/>
      <c r="AD204" s="178">
        <f t="shared" si="299"/>
        <v>0.99428571428571422</v>
      </c>
      <c r="AE204" s="562">
        <f t="shared" si="300"/>
        <v>1304.0031708283793</v>
      </c>
      <c r="AF204" s="545">
        <f t="shared" si="301"/>
        <v>0.10091999999999998</v>
      </c>
      <c r="AH204" s="178">
        <f t="shared" si="302"/>
        <v>0.67853383354502395</v>
      </c>
      <c r="AI204" s="178">
        <f t="shared" si="303"/>
        <v>1.241217329036878</v>
      </c>
      <c r="AJ204" s="178">
        <f t="shared" si="304"/>
        <v>1.9046054289162058</v>
      </c>
      <c r="AL204" s="562">
        <f t="shared" si="305"/>
        <v>376</v>
      </c>
      <c r="AM204" s="471">
        <f t="shared" si="306"/>
        <v>110.10113443607628</v>
      </c>
      <c r="AO204">
        <f t="shared" si="307"/>
        <v>376</v>
      </c>
      <c r="AP204">
        <f t="shared" si="308"/>
        <v>110.10113443607628</v>
      </c>
      <c r="AR204" s="5">
        <f t="shared" si="322"/>
        <v>9.0825585505714379</v>
      </c>
      <c r="AS204" s="5">
        <f t="shared" si="313"/>
        <v>4.8269562795878578</v>
      </c>
      <c r="AT204" s="5">
        <f t="shared" si="314"/>
        <v>4.2556022709835801</v>
      </c>
      <c r="AU204" s="178">
        <f t="shared" si="315"/>
        <v>0.53145336225596529</v>
      </c>
      <c r="AW204" s="5">
        <f t="shared" si="254"/>
        <v>15.124463009375289</v>
      </c>
      <c r="AX204" s="5">
        <f t="shared" si="255"/>
        <v>7.5622315046876443</v>
      </c>
      <c r="AY204" s="5">
        <f t="shared" si="256"/>
        <v>0.77977897363051951</v>
      </c>
      <c r="AZ204" s="5"/>
      <c r="BA204" s="178">
        <f t="shared" si="257"/>
        <v>0.52241998504142428</v>
      </c>
      <c r="BB204" s="178">
        <f t="shared" si="258"/>
        <v>0.98105557816696976</v>
      </c>
      <c r="BC204" s="178">
        <f t="shared" si="259"/>
        <v>0.49052778908348488</v>
      </c>
      <c r="BD204" s="178"/>
      <c r="BE204" s="545">
        <f t="shared" si="260"/>
        <v>9.5522924269738685E-2</v>
      </c>
      <c r="BF204" s="545">
        <f t="shared" si="261"/>
        <v>4.7250000000000007E-2</v>
      </c>
      <c r="BG204" s="545">
        <f t="shared" si="262"/>
        <v>1.3762641804509535E-3</v>
      </c>
      <c r="BH204" s="545">
        <f t="shared" si="263"/>
        <v>1.1699401595744684E-2</v>
      </c>
      <c r="BI204">
        <f t="shared" si="264"/>
        <v>6.2640000000000005E-3</v>
      </c>
      <c r="BK204" s="471">
        <f t="shared" si="265"/>
        <v>162.11259004593433</v>
      </c>
      <c r="BL204" s="178">
        <f t="shared" si="266"/>
        <v>0.1128</v>
      </c>
      <c r="BM204" s="178">
        <f t="shared" si="267"/>
        <v>5.6399999999999999E-2</v>
      </c>
      <c r="BN204" s="545"/>
      <c r="BP204" s="471">
        <f t="shared" si="268"/>
        <v>169.2</v>
      </c>
      <c r="BQ204" s="545">
        <f t="shared" si="269"/>
        <v>2.5927650873214785E-2</v>
      </c>
      <c r="BR204" s="545">
        <f t="shared" si="270"/>
        <v>8.6622304270727452E-2</v>
      </c>
      <c r="BS204" s="545">
        <f t="shared" si="271"/>
        <v>2.4061751186313183E-2</v>
      </c>
      <c r="BT204" s="545">
        <f t="shared" si="272"/>
        <v>1.0916139186003943E-2</v>
      </c>
      <c r="BU204" s="545"/>
      <c r="BV204" s="655">
        <f t="shared" si="309"/>
        <v>3.8165413533834604E-2</v>
      </c>
      <c r="BW204" s="471">
        <f t="shared" si="316"/>
        <v>185.69325905009399</v>
      </c>
      <c r="BX204" s="178">
        <f t="shared" si="317"/>
        <v>0.51700584909602831</v>
      </c>
      <c r="BY204" s="5">
        <f t="shared" si="318"/>
        <v>6.7680000000000007</v>
      </c>
      <c r="BZ204" s="178">
        <f t="shared" si="319"/>
        <v>0.92903151214900104</v>
      </c>
      <c r="CA204" s="5">
        <f t="shared" si="320"/>
        <v>92.903151214900106</v>
      </c>
      <c r="CB204">
        <f t="shared" si="321"/>
        <v>94</v>
      </c>
      <c r="CD204" s="580">
        <f t="shared" si="310"/>
        <v>-50</v>
      </c>
      <c r="CE204">
        <f t="shared" si="311"/>
        <v>-50</v>
      </c>
    </row>
    <row r="205" spans="5:83" x14ac:dyDescent="0.2">
      <c r="E205" s="175">
        <v>95</v>
      </c>
      <c r="F205" s="222">
        <f t="shared" si="312"/>
        <v>0.38</v>
      </c>
      <c r="G205" s="222">
        <f t="shared" si="279"/>
        <v>0.19</v>
      </c>
      <c r="H205" s="222">
        <f t="shared" si="280"/>
        <v>4.5600000000000005</v>
      </c>
      <c r="I205" s="222">
        <f t="shared" si="281"/>
        <v>2.2800000000000002</v>
      </c>
      <c r="J205" s="558">
        <f t="shared" si="282"/>
        <v>21.6</v>
      </c>
      <c r="K205" s="453">
        <f t="shared" si="283"/>
        <v>24.5</v>
      </c>
      <c r="L205" s="453">
        <f t="shared" si="284"/>
        <v>46.1</v>
      </c>
      <c r="M205" s="453"/>
      <c r="N205" s="222">
        <f t="shared" si="285"/>
        <v>0.53145336225596529</v>
      </c>
      <c r="O205" s="177">
        <f t="shared" si="286"/>
        <v>5.2709544468546632</v>
      </c>
      <c r="P205" s="177">
        <f t="shared" si="287"/>
        <v>3.9532158351409978</v>
      </c>
      <c r="Q205" s="222">
        <f t="shared" si="288"/>
        <v>0.43924620390455527</v>
      </c>
      <c r="R205" s="222">
        <f t="shared" si="289"/>
        <v>0.43924620390455527</v>
      </c>
      <c r="S205" s="222">
        <f t="shared" si="290"/>
        <v>12</v>
      </c>
      <c r="T205" s="222">
        <f t="shared" si="291"/>
        <v>1.254421768707483</v>
      </c>
      <c r="U205" s="222">
        <f t="shared" si="292"/>
        <v>4.8783068783068773</v>
      </c>
      <c r="V205" s="222">
        <f t="shared" si="293"/>
        <v>4.3008746355685128</v>
      </c>
      <c r="W205" s="202">
        <f t="shared" si="294"/>
        <v>350</v>
      </c>
      <c r="X205" s="453">
        <f t="shared" si="295"/>
        <v>108.94217512622284</v>
      </c>
      <c r="Z205" s="222">
        <f t="shared" si="296"/>
        <v>0.39045553145336231</v>
      </c>
      <c r="AA205" s="178">
        <f t="shared" si="297"/>
        <v>1.3387046792686708</v>
      </c>
      <c r="AB205" s="178">
        <f t="shared" si="298"/>
        <v>0.12196441763402208</v>
      </c>
      <c r="AC205" s="178"/>
      <c r="AD205" s="178">
        <f t="shared" si="299"/>
        <v>0.99428571428571422</v>
      </c>
      <c r="AE205" s="562">
        <f t="shared" si="300"/>
        <v>1317.8755449861278</v>
      </c>
      <c r="AF205" s="545">
        <f t="shared" si="301"/>
        <v>0.10091999999999998</v>
      </c>
      <c r="AH205" s="178">
        <f t="shared" si="302"/>
        <v>0.68213350778933279</v>
      </c>
      <c r="AI205" s="178">
        <f t="shared" si="303"/>
        <v>1.254421768707483</v>
      </c>
      <c r="AJ205" s="178">
        <f t="shared" si="304"/>
        <v>1.9143864953388763</v>
      </c>
      <c r="AL205" s="562">
        <f t="shared" si="305"/>
        <v>380</v>
      </c>
      <c r="AM205" s="471">
        <f t="shared" si="306"/>
        <v>108.94217512622284</v>
      </c>
      <c r="AO205">
        <f t="shared" si="307"/>
        <v>380</v>
      </c>
      <c r="AP205">
        <f t="shared" si="308"/>
        <v>108.94217512622284</v>
      </c>
      <c r="AR205" s="5">
        <f t="shared" si="322"/>
        <v>9.1791815138753901</v>
      </c>
      <c r="AS205" s="5">
        <f t="shared" si="313"/>
        <v>4.8783068783068773</v>
      </c>
      <c r="AT205" s="5">
        <f t="shared" si="314"/>
        <v>4.3008746355685128</v>
      </c>
      <c r="AU205" s="178">
        <f t="shared" si="315"/>
        <v>0.53145336225596529</v>
      </c>
      <c r="AW205" s="5">
        <f t="shared" si="254"/>
        <v>15.44797178130511</v>
      </c>
      <c r="AX205" s="5">
        <f t="shared" si="255"/>
        <v>7.7239858906525551</v>
      </c>
      <c r="AY205" s="5">
        <f t="shared" si="256"/>
        <v>0.79645826584602075</v>
      </c>
      <c r="AZ205" s="5"/>
      <c r="BA205" s="178">
        <f t="shared" si="257"/>
        <v>0.52797764445675854</v>
      </c>
      <c r="BB205" s="178">
        <f t="shared" si="258"/>
        <v>0.99149233963683114</v>
      </c>
      <c r="BC205" s="178">
        <f t="shared" si="259"/>
        <v>0.49574616981841557</v>
      </c>
      <c r="BD205" s="178"/>
      <c r="BE205" s="545">
        <f t="shared" si="260"/>
        <v>9.7566137566137565E-2</v>
      </c>
      <c r="BF205" s="545">
        <f t="shared" si="261"/>
        <v>4.725E-2</v>
      </c>
      <c r="BG205" s="545">
        <f t="shared" si="262"/>
        <v>1.3617771890777853E-3</v>
      </c>
      <c r="BH205" s="545">
        <f t="shared" si="263"/>
        <v>1.1576250000000001E-2</v>
      </c>
      <c r="BI205">
        <f t="shared" si="264"/>
        <v>6.2640000000000005E-3</v>
      </c>
      <c r="BK205" s="471">
        <f t="shared" si="265"/>
        <v>164.01816475521537</v>
      </c>
      <c r="BL205" s="178">
        <f t="shared" si="266"/>
        <v>0.11399999999999999</v>
      </c>
      <c r="BM205" s="178">
        <f t="shared" si="267"/>
        <v>5.6999999999999995E-2</v>
      </c>
      <c r="BN205" s="545"/>
      <c r="BP205" s="471">
        <f t="shared" si="268"/>
        <v>170.99999999999997</v>
      </c>
      <c r="BQ205" s="545">
        <f t="shared" si="269"/>
        <v>2.6482237339380196E-2</v>
      </c>
      <c r="BR205" s="545">
        <f t="shared" si="270"/>
        <v>8.8475135360266549E-2</v>
      </c>
      <c r="BS205" s="545">
        <f t="shared" si="271"/>
        <v>2.4576426488962935E-2</v>
      </c>
      <c r="BT205" s="545">
        <f t="shared" si="272"/>
        <v>1.091613918600395E-2</v>
      </c>
      <c r="BU205" s="545"/>
      <c r="BV205" s="655">
        <f t="shared" si="309"/>
        <v>3.8571428571428583E-2</v>
      </c>
      <c r="BW205" s="471">
        <f t="shared" si="316"/>
        <v>189.02136694604221</v>
      </c>
      <c r="BX205" s="178">
        <f t="shared" si="317"/>
        <v>0.5240395317012575</v>
      </c>
      <c r="BY205" s="5">
        <f t="shared" si="318"/>
        <v>6.8400000000000007</v>
      </c>
      <c r="BZ205" s="178">
        <f t="shared" si="319"/>
        <v>0.92883803387456931</v>
      </c>
      <c r="CA205" s="5">
        <f t="shared" si="320"/>
        <v>92.883803387456936</v>
      </c>
      <c r="CB205">
        <f t="shared" si="321"/>
        <v>95</v>
      </c>
      <c r="CD205" s="580">
        <f t="shared" si="310"/>
        <v>-50</v>
      </c>
      <c r="CE205">
        <f t="shared" si="311"/>
        <v>-50</v>
      </c>
    </row>
    <row r="206" spans="5:83" x14ac:dyDescent="0.2">
      <c r="E206" s="175">
        <v>96</v>
      </c>
      <c r="F206" s="222">
        <f t="shared" si="312"/>
        <v>0.38400000000000001</v>
      </c>
      <c r="G206" s="222">
        <f t="shared" si="279"/>
        <v>0.192</v>
      </c>
      <c r="H206" s="222">
        <f t="shared" si="280"/>
        <v>4.6080000000000005</v>
      </c>
      <c r="I206" s="222">
        <f t="shared" si="281"/>
        <v>2.3040000000000003</v>
      </c>
      <c r="J206" s="558">
        <f t="shared" si="282"/>
        <v>21.6</v>
      </c>
      <c r="K206" s="453">
        <f t="shared" si="283"/>
        <v>24.5</v>
      </c>
      <c r="L206" s="453">
        <f t="shared" si="284"/>
        <v>46.1</v>
      </c>
      <c r="M206" s="453"/>
      <c r="N206" s="222">
        <f t="shared" si="285"/>
        <v>0.53145336225596529</v>
      </c>
      <c r="O206" s="177">
        <f t="shared" ref="O206:O210" si="323">N206*J206*Isw_max*0.5*Efficiency*Pout/(Pout+Pout2)</f>
        <v>5.2709544468546632</v>
      </c>
      <c r="P206" s="177">
        <f t="shared" si="287"/>
        <v>3.9532158351409978</v>
      </c>
      <c r="Q206" s="222">
        <f t="shared" si="288"/>
        <v>0.43924620390455527</v>
      </c>
      <c r="R206" s="222">
        <f t="shared" si="289"/>
        <v>0.43924620390455527</v>
      </c>
      <c r="S206" s="222">
        <f t="shared" si="290"/>
        <v>12</v>
      </c>
      <c r="T206" s="222">
        <f t="shared" si="291"/>
        <v>1.2676262083780883</v>
      </c>
      <c r="U206" s="222">
        <f t="shared" si="292"/>
        <v>4.9296574770258985</v>
      </c>
      <c r="V206" s="222">
        <f t="shared" si="293"/>
        <v>4.3461470001534455</v>
      </c>
      <c r="W206" s="202">
        <f t="shared" si="294"/>
        <v>350</v>
      </c>
      <c r="X206" s="453">
        <f t="shared" si="295"/>
        <v>107.80736080199132</v>
      </c>
      <c r="Z206" s="222">
        <f t="shared" si="296"/>
        <v>0.39045553145336231</v>
      </c>
      <c r="AA206" s="178">
        <f t="shared" si="297"/>
        <v>1.3387046792686708</v>
      </c>
      <c r="AB206" s="178">
        <f t="shared" ref="AB206:AB210" si="324">0.5*AA206*Z206*Nps*W206/1000*(Pout/(Pout+Pout2))</f>
        <v>0.12196441763402208</v>
      </c>
      <c r="AC206" s="178"/>
      <c r="AD206" s="178">
        <f t="shared" si="299"/>
        <v>0.99428571428571422</v>
      </c>
      <c r="AE206" s="562">
        <f t="shared" ref="AE206:AE210" si="325">MAX(10, F206/(0.5*AD206/1000000*Isw_min*Nps)/1000*Pout_total/Pout)</f>
        <v>1331.7479191438767</v>
      </c>
      <c r="AF206" s="545">
        <f t="shared" si="301"/>
        <v>0.10091999999999998</v>
      </c>
      <c r="AH206" s="178">
        <f t="shared" si="302"/>
        <v>0.68571428571428583</v>
      </c>
      <c r="AI206" s="178">
        <f t="shared" ref="AI206:AI210" si="326">MAX(IF(F206&gt;AB206,T206,AH206),Isw_min)</f>
        <v>1.2676262083780883</v>
      </c>
      <c r="AJ206" s="178">
        <f t="shared" ref="AJ206:AJ210" si="327">IF(F206&gt;AF206, (AI206-Isw_min)/1.08*0.8+1.2, AE206*0.2/350+1)</f>
        <v>1.9241675617615468</v>
      </c>
      <c r="AL206" s="562">
        <f t="shared" si="305"/>
        <v>384</v>
      </c>
      <c r="AM206" s="471">
        <f t="shared" si="306"/>
        <v>107.80736080199132</v>
      </c>
      <c r="AO206">
        <f t="shared" si="307"/>
        <v>384</v>
      </c>
      <c r="AP206">
        <f t="shared" si="308"/>
        <v>107.80736080199132</v>
      </c>
      <c r="AR206" s="5">
        <f t="shared" si="322"/>
        <v>9.275804477179344</v>
      </c>
      <c r="AS206" s="5">
        <f t="shared" si="313"/>
        <v>4.9296574770258985</v>
      </c>
      <c r="AT206" s="5">
        <f t="shared" si="314"/>
        <v>4.3461470001534455</v>
      </c>
      <c r="AU206" s="178">
        <f t="shared" si="315"/>
        <v>0.53145336225596529</v>
      </c>
      <c r="AW206" s="5">
        <f t="shared" si="254"/>
        <v>15.774903926482876</v>
      </c>
      <c r="AX206" s="5">
        <f t="shared" si="255"/>
        <v>7.8874519632414382</v>
      </c>
      <c r="AY206" s="5">
        <f t="shared" si="256"/>
        <v>0.81331405850824712</v>
      </c>
      <c r="AZ206" s="5"/>
      <c r="BA206" s="178">
        <f t="shared" si="257"/>
        <v>0.53353530387209291</v>
      </c>
      <c r="BB206" s="178">
        <f t="shared" si="258"/>
        <v>1.0019291011066926</v>
      </c>
      <c r="BC206" s="178">
        <f t="shared" si="259"/>
        <v>0.50096455055334632</v>
      </c>
      <c r="BD206" s="178"/>
      <c r="BE206" s="545">
        <f t="shared" si="260"/>
        <v>9.9630972167260273E-2</v>
      </c>
      <c r="BF206" s="545">
        <f t="shared" si="261"/>
        <v>4.7249999999999993E-2</v>
      </c>
      <c r="BG206" s="545">
        <f t="shared" si="262"/>
        <v>1.3475920100248914E-3</v>
      </c>
      <c r="BH206" s="545">
        <f t="shared" si="263"/>
        <v>1.1455664062499999E-2</v>
      </c>
      <c r="BI206">
        <f t="shared" si="264"/>
        <v>6.2640000000000005E-3</v>
      </c>
      <c r="BK206" s="471">
        <f t="shared" si="265"/>
        <v>165.94822823978515</v>
      </c>
      <c r="BL206" s="178">
        <f t="shared" si="266"/>
        <v>0.1152</v>
      </c>
      <c r="BM206" s="178">
        <f t="shared" si="267"/>
        <v>5.7599999999999998E-2</v>
      </c>
      <c r="BN206" s="545"/>
      <c r="BP206" s="471">
        <f t="shared" si="268"/>
        <v>172.8</v>
      </c>
      <c r="BQ206" s="545">
        <f t="shared" si="269"/>
        <v>2.7042692445399221E-2</v>
      </c>
      <c r="BR206" s="545">
        <f t="shared" si="270"/>
        <v>9.0347573128001846E-2</v>
      </c>
      <c r="BS206" s="545">
        <f t="shared" si="271"/>
        <v>2.5096548091111628E-2</v>
      </c>
      <c r="BT206" s="545">
        <f t="shared" si="272"/>
        <v>1.0916139186003962E-2</v>
      </c>
      <c r="BU206" s="545"/>
      <c r="BV206" s="655">
        <f t="shared" si="309"/>
        <v>3.8977443609022569E-2</v>
      </c>
      <c r="BW206" s="471">
        <f t="shared" si="316"/>
        <v>192.38039645953924</v>
      </c>
      <c r="BX206" s="178">
        <f t="shared" si="317"/>
        <v>0.53112862469932431</v>
      </c>
      <c r="BY206" s="5">
        <f t="shared" si="318"/>
        <v>6.9120000000000008</v>
      </c>
      <c r="BZ206" s="178">
        <f t="shared" si="319"/>
        <v>0.92864175113986025</v>
      </c>
      <c r="CA206" s="5">
        <f t="shared" si="320"/>
        <v>92.864175113986022</v>
      </c>
      <c r="CB206">
        <f t="shared" si="321"/>
        <v>96</v>
      </c>
      <c r="CD206" s="580">
        <f t="shared" si="310"/>
        <v>-50</v>
      </c>
      <c r="CE206">
        <f t="shared" si="311"/>
        <v>-50</v>
      </c>
    </row>
    <row r="207" spans="5:83" x14ac:dyDescent="0.2">
      <c r="E207" s="175">
        <v>97</v>
      </c>
      <c r="F207" s="222">
        <f t="shared" ref="F207:F210" si="328">IF(PLOT_TYPE=1, E207/100*Iout_max, min_I*EXP(O207*rr/100))</f>
        <v>0.38800000000000001</v>
      </c>
      <c r="G207" s="222">
        <f t="shared" si="279"/>
        <v>0.19400000000000001</v>
      </c>
      <c r="H207" s="222">
        <f t="shared" si="280"/>
        <v>4.6560000000000006</v>
      </c>
      <c r="I207" s="222">
        <f t="shared" si="281"/>
        <v>2.3280000000000003</v>
      </c>
      <c r="J207" s="558">
        <f t="shared" si="282"/>
        <v>21.6</v>
      </c>
      <c r="K207" s="453">
        <f t="shared" si="283"/>
        <v>24.5</v>
      </c>
      <c r="L207" s="453">
        <f t="shared" si="284"/>
        <v>46.1</v>
      </c>
      <c r="M207" s="453"/>
      <c r="N207" s="222">
        <f t="shared" si="285"/>
        <v>0.53145336225596529</v>
      </c>
      <c r="O207" s="177">
        <f t="shared" si="323"/>
        <v>5.2709544468546632</v>
      </c>
      <c r="P207" s="177">
        <f t="shared" si="287"/>
        <v>3.9532158351409978</v>
      </c>
      <c r="Q207" s="222">
        <f t="shared" si="288"/>
        <v>0.43924620390455527</v>
      </c>
      <c r="R207" s="222">
        <f t="shared" si="289"/>
        <v>0.43924620390455527</v>
      </c>
      <c r="S207" s="222">
        <f t="shared" si="290"/>
        <v>12</v>
      </c>
      <c r="T207" s="222">
        <f t="shared" si="291"/>
        <v>1.2808306480486933</v>
      </c>
      <c r="U207" s="222">
        <f t="shared" si="292"/>
        <v>4.9810080757449171</v>
      </c>
      <c r="V207" s="222">
        <f t="shared" si="293"/>
        <v>4.3914193647383764</v>
      </c>
      <c r="W207" s="202">
        <f t="shared" si="294"/>
        <v>350</v>
      </c>
      <c r="X207" s="453">
        <f t="shared" si="295"/>
        <v>106.69594471124917</v>
      </c>
      <c r="Z207" s="222">
        <f t="shared" si="296"/>
        <v>0.39045553145336231</v>
      </c>
      <c r="AA207" s="178">
        <f t="shared" si="297"/>
        <v>1.3387046792686708</v>
      </c>
      <c r="AB207" s="178">
        <f t="shared" si="324"/>
        <v>0.12196441763402208</v>
      </c>
      <c r="AC207" s="178"/>
      <c r="AD207" s="178">
        <f t="shared" si="299"/>
        <v>0.99428571428571422</v>
      </c>
      <c r="AE207" s="562">
        <f t="shared" si="325"/>
        <v>1345.6202933016255</v>
      </c>
      <c r="AF207" s="545">
        <f t="shared" si="301"/>
        <v>0.10091999999999998</v>
      </c>
      <c r="AH207" s="178">
        <f t="shared" si="302"/>
        <v>0.68927646181798974</v>
      </c>
      <c r="AI207" s="178">
        <f t="shared" si="326"/>
        <v>1.2808306480486933</v>
      </c>
      <c r="AJ207" s="178">
        <f t="shared" si="327"/>
        <v>1.9339486281842171</v>
      </c>
      <c r="AL207" s="562">
        <f t="shared" si="305"/>
        <v>388</v>
      </c>
      <c r="AM207" s="471">
        <f t="shared" si="306"/>
        <v>106.69594471124917</v>
      </c>
      <c r="AO207">
        <f t="shared" si="307"/>
        <v>388</v>
      </c>
      <c r="AP207">
        <f t="shared" si="308"/>
        <v>106.69594471124917</v>
      </c>
      <c r="AR207" s="5">
        <f t="shared" si="322"/>
        <v>9.3724274404832926</v>
      </c>
      <c r="AS207" s="5">
        <f t="shared" si="313"/>
        <v>4.9810080757449171</v>
      </c>
      <c r="AT207" s="5">
        <f t="shared" si="314"/>
        <v>4.3914193647383755</v>
      </c>
      <c r="AU207" s="178">
        <f t="shared" si="315"/>
        <v>0.53145336225596529</v>
      </c>
      <c r="AW207" s="5">
        <f t="shared" si="254"/>
        <v>16.105259444908565</v>
      </c>
      <c r="AX207" s="5">
        <f t="shared" si="255"/>
        <v>8.0526297224542827</v>
      </c>
      <c r="AY207" s="5">
        <f t="shared" si="256"/>
        <v>0.83034635161719772</v>
      </c>
      <c r="AZ207" s="5"/>
      <c r="BA207" s="178">
        <f t="shared" si="257"/>
        <v>0.53909296328742717</v>
      </c>
      <c r="BB207" s="178">
        <f t="shared" si="258"/>
        <v>1.0123658625765539</v>
      </c>
      <c r="BC207" s="178">
        <f t="shared" si="259"/>
        <v>0.50618293128827696</v>
      </c>
      <c r="BD207" s="178"/>
      <c r="BE207" s="545">
        <f t="shared" si="260"/>
        <v>0.10171742807310674</v>
      </c>
      <c r="BF207" s="545">
        <f t="shared" si="261"/>
        <v>4.7250000000000007E-2</v>
      </c>
      <c r="BG207" s="545">
        <f t="shared" si="262"/>
        <v>1.3336993088906145E-3</v>
      </c>
      <c r="BH207" s="545">
        <f t="shared" si="263"/>
        <v>1.1337564432989692E-2</v>
      </c>
      <c r="BI207">
        <f t="shared" si="264"/>
        <v>6.2640000000000005E-3</v>
      </c>
      <c r="BK207" s="471">
        <f t="shared" si="265"/>
        <v>167.90269181498704</v>
      </c>
      <c r="BL207" s="178">
        <f t="shared" si="266"/>
        <v>0.1164</v>
      </c>
      <c r="BM207" s="178">
        <f t="shared" si="267"/>
        <v>5.8200000000000002E-2</v>
      </c>
      <c r="BN207" s="545"/>
      <c r="BP207" s="471">
        <f t="shared" si="268"/>
        <v>174.6</v>
      </c>
      <c r="BQ207" s="545">
        <f t="shared" si="269"/>
        <v>2.7609016191271832E-2</v>
      </c>
      <c r="BR207" s="545">
        <f t="shared" si="270"/>
        <v>9.2239617573933314E-2</v>
      </c>
      <c r="BS207" s="545">
        <f t="shared" si="271"/>
        <v>2.5622115992759254E-2</v>
      </c>
      <c r="BT207" s="545">
        <f t="shared" si="272"/>
        <v>1.0916139186003959E-2</v>
      </c>
      <c r="BU207" s="545"/>
      <c r="BV207" s="655">
        <f t="shared" si="309"/>
        <v>3.9383458646616555E-2</v>
      </c>
      <c r="BW207" s="471">
        <f t="shared" si="316"/>
        <v>195.77034759058489</v>
      </c>
      <c r="BX207" s="178">
        <f t="shared" si="317"/>
        <v>0.53827303940557203</v>
      </c>
      <c r="BY207" s="5">
        <f t="shared" si="318"/>
        <v>6.9840000000000009</v>
      </c>
      <c r="BZ207" s="178">
        <f t="shared" si="319"/>
        <v>0.92844276768659972</v>
      </c>
      <c r="CA207" s="5">
        <f t="shared" si="320"/>
        <v>92.844276768659967</v>
      </c>
      <c r="CB207">
        <f t="shared" si="321"/>
        <v>97</v>
      </c>
      <c r="CD207" s="580">
        <f t="shared" si="310"/>
        <v>-50</v>
      </c>
      <c r="CE207">
        <f t="shared" si="311"/>
        <v>-50</v>
      </c>
    </row>
    <row r="208" spans="5:83" x14ac:dyDescent="0.2">
      <c r="E208" s="175">
        <v>98</v>
      </c>
      <c r="F208" s="222">
        <f t="shared" si="328"/>
        <v>0.39200000000000002</v>
      </c>
      <c r="G208" s="222">
        <f t="shared" si="279"/>
        <v>0.19600000000000001</v>
      </c>
      <c r="H208" s="222">
        <f t="shared" si="280"/>
        <v>4.7040000000000006</v>
      </c>
      <c r="I208" s="222">
        <f t="shared" si="281"/>
        <v>2.3520000000000003</v>
      </c>
      <c r="J208" s="558">
        <f t="shared" si="282"/>
        <v>21.6</v>
      </c>
      <c r="K208" s="453">
        <f t="shared" si="283"/>
        <v>24.5</v>
      </c>
      <c r="L208" s="453">
        <f t="shared" si="284"/>
        <v>46.1</v>
      </c>
      <c r="M208" s="453"/>
      <c r="N208" s="222">
        <f t="shared" si="285"/>
        <v>0.53145336225596529</v>
      </c>
      <c r="O208" s="177">
        <f t="shared" si="323"/>
        <v>5.2709544468546632</v>
      </c>
      <c r="P208" s="177">
        <f t="shared" si="287"/>
        <v>3.9532158351409978</v>
      </c>
      <c r="Q208" s="222">
        <f t="shared" si="288"/>
        <v>0.43924620390455527</v>
      </c>
      <c r="R208" s="222">
        <f t="shared" si="289"/>
        <v>0.43924620390455527</v>
      </c>
      <c r="S208" s="222">
        <f t="shared" si="290"/>
        <v>12</v>
      </c>
      <c r="T208" s="222">
        <f t="shared" si="291"/>
        <v>1.2940350877192983</v>
      </c>
      <c r="U208" s="222">
        <f t="shared" si="292"/>
        <v>5.0323586744639366</v>
      </c>
      <c r="V208" s="222">
        <f t="shared" si="293"/>
        <v>4.4366917293233081</v>
      </c>
      <c r="W208" s="202">
        <f t="shared" si="294"/>
        <v>350</v>
      </c>
      <c r="X208" s="453">
        <f t="shared" si="295"/>
        <v>105.60721058154255</v>
      </c>
      <c r="Z208" s="222">
        <f t="shared" si="296"/>
        <v>0.39045553145336231</v>
      </c>
      <c r="AA208" s="178">
        <f t="shared" si="297"/>
        <v>1.3387046792686708</v>
      </c>
      <c r="AB208" s="178">
        <f t="shared" si="324"/>
        <v>0.12196441763402208</v>
      </c>
      <c r="AC208" s="178"/>
      <c r="AD208" s="178">
        <f t="shared" si="299"/>
        <v>0.99428571428571422</v>
      </c>
      <c r="AE208" s="562">
        <f t="shared" si="325"/>
        <v>1359.4926674593742</v>
      </c>
      <c r="AF208" s="545">
        <f t="shared" si="301"/>
        <v>0.10091999999999998</v>
      </c>
      <c r="AH208" s="178">
        <f t="shared" si="302"/>
        <v>0.69282032302755103</v>
      </c>
      <c r="AI208" s="178">
        <f t="shared" si="326"/>
        <v>1.2940350877192983</v>
      </c>
      <c r="AJ208" s="178">
        <f t="shared" si="327"/>
        <v>1.9437296946068876</v>
      </c>
      <c r="AL208" s="562">
        <f t="shared" si="305"/>
        <v>392</v>
      </c>
      <c r="AM208" s="471">
        <f t="shared" si="306"/>
        <v>105.60721058154255</v>
      </c>
      <c r="AO208">
        <f t="shared" si="307"/>
        <v>392</v>
      </c>
      <c r="AP208">
        <f t="shared" si="308"/>
        <v>105.60721058154255</v>
      </c>
      <c r="AR208" s="5">
        <f t="shared" si="322"/>
        <v>9.4690504037872447</v>
      </c>
      <c r="AS208" s="5">
        <f t="shared" si="313"/>
        <v>5.0323586744639366</v>
      </c>
      <c r="AT208" s="5">
        <f t="shared" si="314"/>
        <v>4.4366917293233081</v>
      </c>
      <c r="AU208" s="178">
        <f t="shared" si="315"/>
        <v>0.53145336225596529</v>
      </c>
      <c r="AW208" s="5">
        <f t="shared" si="254"/>
        <v>16.439038336582193</v>
      </c>
      <c r="AX208" s="5">
        <f t="shared" si="255"/>
        <v>8.2195191682910966</v>
      </c>
      <c r="AY208" s="5">
        <f t="shared" si="256"/>
        <v>0.84755514517287367</v>
      </c>
      <c r="AZ208" s="5"/>
      <c r="BA208" s="178">
        <f t="shared" si="257"/>
        <v>0.54465062270276143</v>
      </c>
      <c r="BB208" s="178">
        <f t="shared" si="258"/>
        <v>1.0228026240464152</v>
      </c>
      <c r="BC208" s="178">
        <f t="shared" si="259"/>
        <v>0.5114013120232076</v>
      </c>
      <c r="BD208" s="178"/>
      <c r="BE208" s="545">
        <f t="shared" si="260"/>
        <v>0.10382550528367702</v>
      </c>
      <c r="BF208" s="545">
        <f t="shared" si="261"/>
        <v>4.7250000000000007E-2</v>
      </c>
      <c r="BG208" s="545">
        <f t="shared" si="262"/>
        <v>1.3200901322692818E-3</v>
      </c>
      <c r="BH208" s="545">
        <f t="shared" si="263"/>
        <v>1.1221875000000001E-2</v>
      </c>
      <c r="BI208">
        <f t="shared" si="264"/>
        <v>6.2640000000000005E-3</v>
      </c>
      <c r="BK208" s="471">
        <f t="shared" si="265"/>
        <v>169.8814704159463</v>
      </c>
      <c r="BL208" s="178">
        <f t="shared" si="266"/>
        <v>0.1176</v>
      </c>
      <c r="BM208" s="178">
        <f t="shared" si="267"/>
        <v>5.8799999999999998E-2</v>
      </c>
      <c r="BN208" s="545"/>
      <c r="BP208" s="471">
        <f t="shared" si="268"/>
        <v>176.4</v>
      </c>
      <c r="BQ208" s="545">
        <f t="shared" si="269"/>
        <v>2.8181208576998053E-2</v>
      </c>
      <c r="BR208" s="545">
        <f t="shared" si="270"/>
        <v>9.4151268698060939E-2</v>
      </c>
      <c r="BS208" s="545">
        <f t="shared" si="271"/>
        <v>2.6153130193905819E-2</v>
      </c>
      <c r="BT208" s="545">
        <f t="shared" si="272"/>
        <v>1.0916139186003954E-2</v>
      </c>
      <c r="BU208" s="545"/>
      <c r="BV208" s="655">
        <f t="shared" si="309"/>
        <v>3.9789473684210541E-2</v>
      </c>
      <c r="BW208" s="471">
        <f t="shared" si="316"/>
        <v>199.19122033917932</v>
      </c>
      <c r="BX208" s="178">
        <f t="shared" si="317"/>
        <v>0.54547269075512572</v>
      </c>
      <c r="BY208" s="5">
        <f t="shared" si="318"/>
        <v>7.0560000000000009</v>
      </c>
      <c r="BZ208" s="178">
        <f t="shared" si="319"/>
        <v>0.92824118260419097</v>
      </c>
      <c r="CA208" s="5">
        <f t="shared" si="320"/>
        <v>92.824118260419098</v>
      </c>
      <c r="CB208">
        <f t="shared" si="321"/>
        <v>98</v>
      </c>
      <c r="CD208" s="580">
        <f t="shared" si="310"/>
        <v>-50</v>
      </c>
      <c r="CE208">
        <f t="shared" si="311"/>
        <v>-50</v>
      </c>
    </row>
    <row r="209" spans="5:83" x14ac:dyDescent="0.2">
      <c r="E209" s="175">
        <v>99</v>
      </c>
      <c r="F209" s="222">
        <f t="shared" si="328"/>
        <v>0.39600000000000002</v>
      </c>
      <c r="G209" s="222">
        <f t="shared" si="279"/>
        <v>0.19800000000000001</v>
      </c>
      <c r="H209" s="222">
        <f t="shared" si="280"/>
        <v>4.7520000000000007</v>
      </c>
      <c r="I209" s="222">
        <f t="shared" si="281"/>
        <v>2.3760000000000003</v>
      </c>
      <c r="J209" s="558">
        <f t="shared" si="282"/>
        <v>21.6</v>
      </c>
      <c r="K209" s="453">
        <f t="shared" si="283"/>
        <v>24.5</v>
      </c>
      <c r="L209" s="453">
        <f t="shared" si="284"/>
        <v>46.1</v>
      </c>
      <c r="M209" s="453"/>
      <c r="N209" s="222">
        <f t="shared" si="285"/>
        <v>0.53145336225596529</v>
      </c>
      <c r="O209" s="177">
        <f t="shared" si="323"/>
        <v>5.2709544468546632</v>
      </c>
      <c r="P209" s="177">
        <f t="shared" si="287"/>
        <v>3.9532158351409978</v>
      </c>
      <c r="Q209" s="222">
        <f t="shared" si="288"/>
        <v>0.43924620390455527</v>
      </c>
      <c r="R209" s="222">
        <f t="shared" si="289"/>
        <v>0.43924620390455527</v>
      </c>
      <c r="S209" s="222">
        <f t="shared" si="290"/>
        <v>12</v>
      </c>
      <c r="T209" s="222">
        <f t="shared" si="291"/>
        <v>1.3072395273899036</v>
      </c>
      <c r="U209" s="222">
        <f t="shared" si="292"/>
        <v>5.0837092731829578</v>
      </c>
      <c r="V209" s="222">
        <f t="shared" si="293"/>
        <v>4.4819640939082408</v>
      </c>
      <c r="W209" s="202">
        <f t="shared" si="294"/>
        <v>350</v>
      </c>
      <c r="X209" s="453">
        <f t="shared" si="295"/>
        <v>104.54047108071886</v>
      </c>
      <c r="Z209" s="222">
        <f t="shared" si="296"/>
        <v>0.39045553145336231</v>
      </c>
      <c r="AA209" s="178">
        <f t="shared" si="297"/>
        <v>1.3387046792686708</v>
      </c>
      <c r="AB209" s="178">
        <f t="shared" si="324"/>
        <v>0.12196441763402208</v>
      </c>
      <c r="AC209" s="178"/>
      <c r="AD209" s="178">
        <f t="shared" si="299"/>
        <v>0.99428571428571422</v>
      </c>
      <c r="AE209" s="562">
        <f t="shared" si="325"/>
        <v>1373.3650416171229</v>
      </c>
      <c r="AF209" s="545">
        <f t="shared" si="301"/>
        <v>0.10091999999999998</v>
      </c>
      <c r="AH209" s="178">
        <f t="shared" si="302"/>
        <v>0.69634614896879665</v>
      </c>
      <c r="AI209" s="178">
        <f t="shared" si="326"/>
        <v>1.3072395273899036</v>
      </c>
      <c r="AJ209" s="178">
        <f t="shared" si="327"/>
        <v>1.9535107610295581</v>
      </c>
      <c r="AL209" s="562">
        <f t="shared" si="305"/>
        <v>396</v>
      </c>
      <c r="AM209" s="471">
        <f t="shared" si="306"/>
        <v>104.54047108071886</v>
      </c>
      <c r="AO209">
        <f t="shared" si="307"/>
        <v>396</v>
      </c>
      <c r="AP209">
        <f t="shared" si="308"/>
        <v>104.54047108071886</v>
      </c>
      <c r="AR209" s="5">
        <f t="shared" si="322"/>
        <v>9.5656733670911986</v>
      </c>
      <c r="AS209" s="5">
        <f t="shared" si="313"/>
        <v>5.0837092731829578</v>
      </c>
      <c r="AT209" s="5">
        <f t="shared" si="314"/>
        <v>4.4819640939082408</v>
      </c>
      <c r="AU209" s="178">
        <f t="shared" si="315"/>
        <v>0.53145336225596529</v>
      </c>
      <c r="AW209" s="5">
        <f t="shared" si="254"/>
        <v>16.776240601503766</v>
      </c>
      <c r="AX209" s="5">
        <f t="shared" si="255"/>
        <v>8.3881203007518828</v>
      </c>
      <c r="AY209" s="5">
        <f t="shared" si="256"/>
        <v>0.86494043917527452</v>
      </c>
      <c r="AZ209" s="5"/>
      <c r="BA209" s="178">
        <f t="shared" si="257"/>
        <v>0.5502082821180958</v>
      </c>
      <c r="BB209" s="178">
        <f t="shared" si="258"/>
        <v>1.0332393855162767</v>
      </c>
      <c r="BC209" s="178">
        <f t="shared" si="259"/>
        <v>0.51661969275813835</v>
      </c>
      <c r="BD209" s="178"/>
      <c r="BE209" s="545">
        <f t="shared" si="260"/>
        <v>0.10595520379897114</v>
      </c>
      <c r="BF209" s="545">
        <f t="shared" si="261"/>
        <v>4.725E-2</v>
      </c>
      <c r="BG209" s="545">
        <f t="shared" si="262"/>
        <v>1.3067558885089857E-3</v>
      </c>
      <c r="BH209" s="545">
        <f t="shared" si="263"/>
        <v>1.1108522727272726E-2</v>
      </c>
      <c r="BI209">
        <f t="shared" si="264"/>
        <v>6.2640000000000005E-3</v>
      </c>
      <c r="BK209" s="471">
        <f t="shared" si="265"/>
        <v>171.88448241475282</v>
      </c>
      <c r="BL209" s="178">
        <f t="shared" si="266"/>
        <v>0.1188</v>
      </c>
      <c r="BM209" s="178">
        <f t="shared" si="267"/>
        <v>5.9400000000000001E-2</v>
      </c>
      <c r="BN209" s="545"/>
      <c r="BP209" s="471">
        <f t="shared" si="268"/>
        <v>178.2</v>
      </c>
      <c r="BQ209" s="545">
        <f t="shared" si="269"/>
        <v>2.875926960257788E-2</v>
      </c>
      <c r="BR209" s="545">
        <f t="shared" si="270"/>
        <v>9.6082526500384763E-2</v>
      </c>
      <c r="BS209" s="545">
        <f t="shared" si="271"/>
        <v>2.6689590694551325E-2</v>
      </c>
      <c r="BT209" s="545">
        <f t="shared" si="272"/>
        <v>1.0916139186003959E-2</v>
      </c>
      <c r="BU209" s="545"/>
      <c r="BV209" s="655">
        <f t="shared" si="309"/>
        <v>4.0195488721804527E-2</v>
      </c>
      <c r="BW209" s="471">
        <f t="shared" si="316"/>
        <v>202.64301470532246</v>
      </c>
      <c r="BX209" s="178">
        <f t="shared" si="317"/>
        <v>0.5527274971200753</v>
      </c>
      <c r="BY209" s="5">
        <f t="shared" si="318"/>
        <v>7.128000000000001</v>
      </c>
      <c r="BZ209" s="178">
        <f t="shared" si="319"/>
        <v>0.92803709058454131</v>
      </c>
      <c r="CA209" s="5">
        <f t="shared" si="320"/>
        <v>92.803709058454132</v>
      </c>
      <c r="CB209">
        <f t="shared" si="321"/>
        <v>99</v>
      </c>
      <c r="CD209" s="580">
        <f t="shared" si="310"/>
        <v>-50</v>
      </c>
      <c r="CE209">
        <f t="shared" si="311"/>
        <v>-50</v>
      </c>
    </row>
    <row r="210" spans="5:83" x14ac:dyDescent="0.2">
      <c r="E210" s="175">
        <v>100</v>
      </c>
      <c r="F210" s="222">
        <f t="shared" si="328"/>
        <v>0.4</v>
      </c>
      <c r="G210" s="222">
        <f t="shared" si="279"/>
        <v>0.2</v>
      </c>
      <c r="H210" s="222">
        <f t="shared" si="280"/>
        <v>4.8000000000000007</v>
      </c>
      <c r="I210" s="222">
        <f t="shared" si="281"/>
        <v>2.4000000000000004</v>
      </c>
      <c r="J210" s="558">
        <f t="shared" si="282"/>
        <v>21.6</v>
      </c>
      <c r="K210" s="453">
        <f t="shared" si="283"/>
        <v>24.5</v>
      </c>
      <c r="L210" s="453">
        <f t="shared" si="284"/>
        <v>46.1</v>
      </c>
      <c r="M210" s="453"/>
      <c r="N210" s="222">
        <f t="shared" si="285"/>
        <v>0.53145336225596529</v>
      </c>
      <c r="O210" s="177">
        <f t="shared" si="323"/>
        <v>5.2709544468546632</v>
      </c>
      <c r="P210" s="177">
        <f t="shared" si="287"/>
        <v>3.9532158351409978</v>
      </c>
      <c r="Q210" s="222">
        <f t="shared" si="288"/>
        <v>0.43924620390455527</v>
      </c>
      <c r="R210" s="222">
        <f t="shared" si="289"/>
        <v>0.43924620390455527</v>
      </c>
      <c r="S210" s="222">
        <f t="shared" si="290"/>
        <v>12</v>
      </c>
      <c r="T210" s="222">
        <f t="shared" si="291"/>
        <v>1.3204439670605086</v>
      </c>
      <c r="U210" s="222">
        <f t="shared" si="292"/>
        <v>5.1350598719019773</v>
      </c>
      <c r="V210" s="222">
        <f t="shared" si="293"/>
        <v>4.5272364584931726</v>
      </c>
      <c r="W210" s="202">
        <f t="shared" si="294"/>
        <v>350</v>
      </c>
      <c r="X210" s="453">
        <f t="shared" si="295"/>
        <v>103.49506636991165</v>
      </c>
      <c r="Z210" s="222">
        <f t="shared" si="296"/>
        <v>0.39045553145336231</v>
      </c>
      <c r="AA210" s="178">
        <f t="shared" si="297"/>
        <v>1.3387046792686708</v>
      </c>
      <c r="AB210" s="178">
        <f t="shared" si="324"/>
        <v>0.12196441763402208</v>
      </c>
      <c r="AC210" s="178"/>
      <c r="AD210" s="178">
        <f t="shared" si="299"/>
        <v>0.99428571428571422</v>
      </c>
      <c r="AE210" s="562">
        <f t="shared" si="325"/>
        <v>1387.2374157748716</v>
      </c>
      <c r="AF210" s="545">
        <f t="shared" si="301"/>
        <v>0.10091999999999998</v>
      </c>
      <c r="AH210" s="178">
        <f t="shared" si="302"/>
        <v>0.6998542122237652</v>
      </c>
      <c r="AI210" s="178">
        <f t="shared" si="326"/>
        <v>1.3204439670605086</v>
      </c>
      <c r="AJ210" s="178">
        <f t="shared" si="327"/>
        <v>1.9632918274522284</v>
      </c>
      <c r="AL210" s="562">
        <f t="shared" si="305"/>
        <v>400</v>
      </c>
      <c r="AM210" s="471">
        <f t="shared" si="306"/>
        <v>103.49506636991165</v>
      </c>
      <c r="AO210">
        <f t="shared" si="307"/>
        <v>400</v>
      </c>
      <c r="AP210">
        <f t="shared" si="308"/>
        <v>103.49506636991165</v>
      </c>
      <c r="AR210" s="5">
        <f t="shared" si="322"/>
        <v>9.6622963303951508</v>
      </c>
      <c r="AS210" s="5">
        <f t="shared" si="313"/>
        <v>5.1350598719019773</v>
      </c>
      <c r="AT210" s="5">
        <f t="shared" si="314"/>
        <v>4.5272364584931735</v>
      </c>
      <c r="AU210" s="178">
        <f t="shared" si="315"/>
        <v>0.53145336225596518</v>
      </c>
      <c r="AW210" s="5">
        <f t="shared" si="254"/>
        <v>17.116866239673257</v>
      </c>
      <c r="AX210" s="5">
        <f t="shared" si="255"/>
        <v>8.5584331198366286</v>
      </c>
      <c r="AY210" s="5">
        <f t="shared" si="256"/>
        <v>0.88250223362440028</v>
      </c>
      <c r="AZ210" s="5"/>
      <c r="BA210" s="178">
        <f t="shared" si="257"/>
        <v>0.55576594153343006</v>
      </c>
      <c r="BB210" s="178">
        <f t="shared" si="258"/>
        <v>1.0436761469861382</v>
      </c>
      <c r="BC210" s="178">
        <f t="shared" si="259"/>
        <v>0.5218380734930691</v>
      </c>
      <c r="BD210" s="178"/>
      <c r="BE210" s="545">
        <f t="shared" si="260"/>
        <v>0.10810652361898901</v>
      </c>
      <c r="BF210" s="545">
        <f t="shared" si="261"/>
        <v>4.7249999999999993E-2</v>
      </c>
      <c r="BG210" s="545">
        <f t="shared" si="262"/>
        <v>1.2936883296238955E-3</v>
      </c>
      <c r="BH210" s="545">
        <f t="shared" si="263"/>
        <v>1.0997437499999997E-2</v>
      </c>
      <c r="BI210">
        <f t="shared" si="264"/>
        <v>6.2640000000000005E-3</v>
      </c>
      <c r="BK210" s="471">
        <f t="shared" si="265"/>
        <v>173.91164944861288</v>
      </c>
      <c r="BL210" s="178">
        <f t="shared" si="266"/>
        <v>0.12</v>
      </c>
      <c r="BM210" s="178">
        <f t="shared" si="267"/>
        <v>0.06</v>
      </c>
      <c r="BN210" s="545"/>
      <c r="BP210" s="471">
        <f t="shared" si="268"/>
        <v>180</v>
      </c>
      <c r="BQ210" s="545">
        <f t="shared" si="269"/>
        <v>2.9343199268011301E-2</v>
      </c>
      <c r="BR210" s="545">
        <f t="shared" si="270"/>
        <v>9.80333909809048E-2</v>
      </c>
      <c r="BS210" s="545">
        <f t="shared" si="271"/>
        <v>2.7231497494695778E-2</v>
      </c>
      <c r="BT210" s="545">
        <f t="shared" si="272"/>
        <v>1.0916139186003936E-2</v>
      </c>
      <c r="BU210" s="545"/>
      <c r="BV210" s="655">
        <f t="shared" si="309"/>
        <v>4.06015037593985E-2</v>
      </c>
      <c r="BW210" s="471">
        <f t="shared" si="316"/>
        <v>206.12573068901429</v>
      </c>
      <c r="BX210" s="178">
        <f t="shared" si="317"/>
        <v>0.56003738013762727</v>
      </c>
      <c r="BY210" s="5">
        <f t="shared" si="318"/>
        <v>7.2000000000000011</v>
      </c>
      <c r="BZ210" s="178">
        <f t="shared" si="319"/>
        <v>0.92783058216045666</v>
      </c>
      <c r="CA210" s="5">
        <f t="shared" si="320"/>
        <v>92.78305821604566</v>
      </c>
      <c r="CB210">
        <f t="shared" si="321"/>
        <v>100</v>
      </c>
      <c r="CD210" s="580">
        <f t="shared" si="310"/>
        <v>-50</v>
      </c>
      <c r="CE210">
        <f t="shared" si="311"/>
        <v>-50</v>
      </c>
    </row>
    <row r="211" spans="5:83" x14ac:dyDescent="0.2">
      <c r="E211" s="175"/>
      <c r="F211" s="222"/>
      <c r="G211" s="222"/>
      <c r="H211" s="222"/>
      <c r="I211" s="222"/>
      <c r="J211" s="558"/>
      <c r="K211" s="453"/>
      <c r="L211" s="453"/>
      <c r="M211" s="453"/>
      <c r="N211" s="222"/>
      <c r="O211" s="177"/>
      <c r="P211" s="177"/>
      <c r="Q211" s="222"/>
      <c r="R211" s="222"/>
      <c r="S211" s="222"/>
      <c r="T211" s="222"/>
      <c r="U211" s="222"/>
      <c r="V211" s="222"/>
      <c r="W211" s="202"/>
      <c r="X211" s="453"/>
      <c r="Z211" s="222"/>
      <c r="AA211" s="178"/>
      <c r="AB211" s="178"/>
      <c r="AC211" s="178"/>
      <c r="AD211" s="178"/>
      <c r="AE211" s="562"/>
      <c r="AF211" s="545"/>
      <c r="AH211" s="178"/>
      <c r="AI211" s="178"/>
      <c r="AJ211" s="178"/>
      <c r="AL211" s="562"/>
      <c r="AM211" s="471"/>
      <c r="AR211" s="5"/>
      <c r="AS211" s="5"/>
      <c r="AT211" s="5"/>
      <c r="AU211" s="178"/>
      <c r="CD211" s="580"/>
      <c r="CE211" s="556">
        <f>MAX(CE110:CE210)</f>
        <v>-50</v>
      </c>
    </row>
    <row r="212" spans="5:83" x14ac:dyDescent="0.2">
      <c r="G212" s="222"/>
      <c r="H212" s="222"/>
      <c r="I212" s="222"/>
      <c r="J212" s="558"/>
      <c r="K212" s="453"/>
      <c r="L212" s="453"/>
      <c r="M212" s="453"/>
      <c r="N212" s="222"/>
      <c r="O212" s="177"/>
      <c r="P212" s="177"/>
      <c r="Q212" s="222"/>
      <c r="R212" s="222"/>
      <c r="S212" s="222"/>
      <c r="T212" s="222"/>
      <c r="U212" s="222"/>
      <c r="V212" s="222"/>
      <c r="W212" s="202"/>
      <c r="X212" s="453"/>
      <c r="Z212" s="222"/>
      <c r="AA212" s="178"/>
      <c r="AB212" s="178"/>
      <c r="AC212" s="178"/>
      <c r="AD212" s="178"/>
      <c r="AE212" s="562"/>
      <c r="AF212" s="545"/>
      <c r="AH212" s="178"/>
      <c r="AI212" s="178"/>
      <c r="AJ212" s="178"/>
      <c r="AL212" s="562"/>
      <c r="AM212" s="471"/>
      <c r="AR212" s="5"/>
      <c r="AS212" s="5"/>
      <c r="AT212" s="5"/>
      <c r="AU212" s="178"/>
      <c r="CD212" s="580"/>
    </row>
    <row r="213" spans="5:83" x14ac:dyDescent="0.2">
      <c r="G213" s="222"/>
      <c r="H213" s="222"/>
      <c r="I213" s="222"/>
      <c r="J213" s="558"/>
      <c r="K213" s="453"/>
      <c r="L213" s="453"/>
      <c r="M213" s="453"/>
      <c r="N213" s="222"/>
      <c r="O213" s="177"/>
      <c r="P213" s="177"/>
      <c r="Q213" s="222"/>
      <c r="R213" s="222"/>
      <c r="S213" s="222"/>
      <c r="T213" s="222"/>
      <c r="U213" s="222"/>
      <c r="V213" s="222"/>
      <c r="W213" s="202"/>
      <c r="X213" s="453"/>
      <c r="Z213" s="222"/>
      <c r="AA213" s="178"/>
      <c r="AB213" s="178"/>
      <c r="AC213" s="178"/>
      <c r="AD213" s="178"/>
      <c r="AE213" s="562"/>
      <c r="AF213" s="545"/>
      <c r="AH213" s="178"/>
      <c r="AI213" s="178"/>
      <c r="AJ213" s="178"/>
      <c r="AL213" s="562"/>
      <c r="AM213" s="471"/>
      <c r="AR213" s="5"/>
      <c r="AS213" s="5"/>
      <c r="AT213" s="5"/>
      <c r="AU213" s="178"/>
      <c r="CD213" s="580"/>
    </row>
    <row r="214" spans="5:83" x14ac:dyDescent="0.2">
      <c r="E214" s="455" t="s">
        <v>446</v>
      </c>
      <c r="G214" s="222"/>
      <c r="H214" s="222"/>
      <c r="I214" s="222"/>
      <c r="J214" s="558"/>
      <c r="K214" s="453"/>
      <c r="L214" s="453"/>
      <c r="M214" s="453"/>
      <c r="N214" s="222"/>
      <c r="O214" s="177"/>
      <c r="P214" s="177"/>
      <c r="Q214" s="222"/>
      <c r="R214" s="222"/>
      <c r="S214" s="222"/>
      <c r="T214" s="222"/>
      <c r="U214" s="222"/>
      <c r="V214" s="222"/>
      <c r="W214" s="202"/>
      <c r="X214" s="453"/>
      <c r="Z214" s="222"/>
      <c r="AA214" s="178"/>
      <c r="AB214" s="178"/>
      <c r="AC214" s="178"/>
      <c r="AD214" s="178"/>
      <c r="AE214" s="562"/>
      <c r="AF214" s="545"/>
      <c r="AH214" s="178"/>
      <c r="AI214" s="178"/>
      <c r="AJ214" s="178"/>
      <c r="AL214" s="562"/>
      <c r="AM214" s="471"/>
      <c r="AR214" s="5"/>
      <c r="AS214" s="5"/>
      <c r="AT214" s="5"/>
      <c r="AU214" s="178"/>
      <c r="CD214" s="580"/>
    </row>
    <row r="215" spans="5:83" ht="45" customHeight="1" thickBot="1" x14ac:dyDescent="0.25">
      <c r="E215" s="246" t="s">
        <v>25</v>
      </c>
      <c r="F215" s="624" t="s">
        <v>599</v>
      </c>
      <c r="G215" s="454" t="s">
        <v>598</v>
      </c>
      <c r="H215" s="625" t="s">
        <v>600</v>
      </c>
      <c r="I215" s="626" t="s">
        <v>601</v>
      </c>
      <c r="J215" s="247" t="s">
        <v>423</v>
      </c>
      <c r="K215" s="248" t="s">
        <v>429</v>
      </c>
      <c r="L215" s="544" t="s">
        <v>424</v>
      </c>
      <c r="M215" s="544"/>
      <c r="N215" s="249" t="s">
        <v>48</v>
      </c>
      <c r="O215" s="628" t="s">
        <v>609</v>
      </c>
      <c r="P215" s="177"/>
      <c r="Q215" s="544" t="s">
        <v>414</v>
      </c>
      <c r="R215" s="628" t="s">
        <v>603</v>
      </c>
      <c r="S215" s="544" t="s">
        <v>444</v>
      </c>
      <c r="T215" s="628" t="s">
        <v>425</v>
      </c>
      <c r="U215" s="544" t="s">
        <v>477</v>
      </c>
      <c r="V215" s="544" t="s">
        <v>476</v>
      </c>
      <c r="W215" s="564" t="s">
        <v>431</v>
      </c>
      <c r="X215" s="559" t="s">
        <v>436</v>
      </c>
      <c r="Z215" s="250" t="s">
        <v>428</v>
      </c>
      <c r="AA215" s="250" t="s">
        <v>475</v>
      </c>
      <c r="AB215" s="178"/>
      <c r="AC215" s="561"/>
      <c r="AD215" s="250" t="s">
        <v>474</v>
      </c>
      <c r="AE215" s="562"/>
      <c r="AF215" s="545"/>
      <c r="AG215" s="561"/>
      <c r="AH215" s="178"/>
      <c r="AI215" s="565" t="s">
        <v>441</v>
      </c>
      <c r="AJ215" s="565" t="s">
        <v>442</v>
      </c>
      <c r="AL215" s="560" t="s">
        <v>276</v>
      </c>
      <c r="AM215" s="560" t="s">
        <v>443</v>
      </c>
      <c r="AO215" s="250" t="s">
        <v>276</v>
      </c>
      <c r="AP215" s="250" t="s">
        <v>443</v>
      </c>
      <c r="AQ215" s="566"/>
      <c r="AR215" s="250" t="s">
        <v>478</v>
      </c>
      <c r="AS215" s="250" t="s">
        <v>472</v>
      </c>
      <c r="AT215" s="250" t="s">
        <v>473</v>
      </c>
      <c r="AU215" s="250" t="s">
        <v>48</v>
      </c>
      <c r="AV215" s="561"/>
      <c r="AW215" s="250" t="s">
        <v>493</v>
      </c>
      <c r="AX215" s="250"/>
      <c r="AY215" s="250" t="s">
        <v>494</v>
      </c>
      <c r="AZ215" s="561"/>
      <c r="BA215" s="575" t="s">
        <v>467</v>
      </c>
      <c r="BB215" s="250" t="s">
        <v>468</v>
      </c>
      <c r="BC215" s="250"/>
      <c r="BD215" s="561"/>
      <c r="BE215" s="575" t="s">
        <v>485</v>
      </c>
      <c r="BF215" s="250" t="s">
        <v>486</v>
      </c>
      <c r="BG215" s="250" t="s">
        <v>484</v>
      </c>
      <c r="BH215" s="250" t="s">
        <v>480</v>
      </c>
      <c r="BI215" s="250" t="s">
        <v>489</v>
      </c>
      <c r="BJ215" s="250"/>
      <c r="BK215" s="250" t="s">
        <v>504</v>
      </c>
      <c r="BL215" s="575" t="s">
        <v>487</v>
      </c>
      <c r="BM215" s="250"/>
      <c r="BN215" s="250" t="s">
        <v>488</v>
      </c>
      <c r="BO215" s="250" t="s">
        <v>496</v>
      </c>
      <c r="BP215" s="250" t="s">
        <v>500</v>
      </c>
      <c r="BQ215" s="575" t="s">
        <v>469</v>
      </c>
      <c r="BR215" s="250" t="s">
        <v>470</v>
      </c>
      <c r="BS215" s="250"/>
      <c r="BT215" s="250" t="s">
        <v>479</v>
      </c>
      <c r="BU215" s="250"/>
      <c r="BV215" s="250" t="s">
        <v>497</v>
      </c>
      <c r="BW215" s="250" t="s">
        <v>499</v>
      </c>
      <c r="BX215" s="575" t="s">
        <v>495</v>
      </c>
      <c r="BY215" s="250" t="s">
        <v>224</v>
      </c>
      <c r="BZ215" s="250" t="s">
        <v>47</v>
      </c>
      <c r="CA215" s="250" t="s">
        <v>498</v>
      </c>
      <c r="CB215" s="250"/>
      <c r="CD215" s="580"/>
    </row>
    <row r="216" spans="5:83" x14ac:dyDescent="0.2">
      <c r="E216" s="175">
        <v>0.1</v>
      </c>
      <c r="F216" s="222">
        <v>1.0000000000000001E-9</v>
      </c>
      <c r="G216" s="222">
        <f t="shared" ref="G216:G247" si="329">IF(PLOT_TYPE=1, E216/100*Iout2, min_I*EXP(Q216*rr/100))</f>
        <v>2.0000000000000001E-4</v>
      </c>
      <c r="H216" s="222">
        <f t="shared" ref="H216:H247" si="330">F216*Vout</f>
        <v>1.2000000000000002E-8</v>
      </c>
      <c r="I216" s="222">
        <f t="shared" ref="I216:I247" si="331">Vout2*G216</f>
        <v>2.4000000000000002E-3</v>
      </c>
      <c r="J216" s="558">
        <f t="shared" ref="J216:J279" si="332">VIN_max</f>
        <v>26.4</v>
      </c>
      <c r="K216" s="453">
        <f t="shared" ref="K216:K279" si="333">(S216+Vfwd1)*Nps</f>
        <v>24.5</v>
      </c>
      <c r="L216" s="453">
        <f t="shared" ref="L216:L279" si="334">(Vout+Vfwd1)*Nps+J216</f>
        <v>50.9</v>
      </c>
      <c r="M216" s="453"/>
      <c r="N216" s="222">
        <f t="shared" ref="N216:N279" si="335">(Vout+Vfwd1)*Nps/((Vout+Vfwd1)*Nps+J216)</f>
        <v>0.48133595284872299</v>
      </c>
      <c r="O216" s="177">
        <f t="shared" ref="O216:O247" si="336">N216*J216*Isw_max*0.5*Efficiency*Pout/(Pout+Pout2)</f>
        <v>5.8347544204322208</v>
      </c>
      <c r="P216" s="177">
        <f t="shared" ref="P216:P247" si="337">N216*J216*Isw_max*0.5*Efficiency*(Pout2/Pout_total)</f>
        <v>4.3760658153241652</v>
      </c>
      <c r="Q216" s="222">
        <f t="shared" ref="Q216:Q279" si="338">O216/Vout</f>
        <v>0.4862295350360184</v>
      </c>
      <c r="R216" s="222">
        <f t="shared" ref="R216:R247" si="339">O216/Vout2</f>
        <v>0.4862295350360184</v>
      </c>
      <c r="S216" s="222">
        <f t="shared" ref="S216:S247" si="340">MIN(Vout,O216/F216)</f>
        <v>12</v>
      </c>
      <c r="T216" s="222">
        <f t="shared" ref="T216:T247" si="341">MIN(2*(Vout*F216+Vout2*G216)/(Efficiency*J216*N216), Isw_max)</f>
        <v>3.976194082609121E-4</v>
      </c>
      <c r="U216" s="222">
        <f t="shared" ref="U216:U279" si="342">L*T216/J216*1000000</f>
        <v>1.2651526626483566E-3</v>
      </c>
      <c r="V216" s="222">
        <f t="shared" ref="V216:V279" si="343">L*T216/K216*1000000</f>
        <v>1.3632665426088412E-3</v>
      </c>
      <c r="W216" s="202">
        <f t="shared" ref="W216:W279" si="344">IF(1/((350000*L)*(1/J216+1/K216))&gt;Isw_min, 350, 0.001/((Isw_min*L)*(1/J216+1/K216)))</f>
        <v>350</v>
      </c>
      <c r="X216" s="453">
        <f t="shared" ref="X216:X279" si="345">MIN(1/(U216+V216)*1000, 350)</f>
        <v>350</v>
      </c>
      <c r="Z216" s="222">
        <f t="shared" ref="Z216:Z279" si="346">1/((W216*1000*L)*(1/J216+1/K216))</f>
        <v>0.4322200392927309</v>
      </c>
      <c r="AA216" s="178">
        <f t="shared" ref="AA216:AA279" si="347">L*Z216/K216*1000000</f>
        <v>1.4818972775750774</v>
      </c>
      <c r="AB216" s="178">
        <f t="shared" ref="AB216:AB247" si="348">0.5*AA216*Z216*Nps*W216/1000*(Pout/(Pout+Pout2))</f>
        <v>0.14945132989296789</v>
      </c>
      <c r="AC216" s="178"/>
      <c r="AD216" s="178">
        <f t="shared" ref="AD216:AD279" si="349">L*Isw_min/K216*1000000</f>
        <v>0.99428571428571422</v>
      </c>
      <c r="AE216" s="562">
        <f t="shared" ref="AE216:AE247" si="350">MAX(10, F216/(0.5*AD216/1000000*Isw_min*Nps)/1000*Pout_total/Pout)</f>
        <v>10</v>
      </c>
      <c r="AF216" s="545">
        <f t="shared" ref="AF216:AF247" si="351">0.5*AD216/1000000*Isw_min*Nps*W216*1000*(Pout/Pout_total)</f>
        <v>0.10091999999999998</v>
      </c>
      <c r="AH216" s="178">
        <f t="shared" ref="AH216:AH247" si="352">SQRT((H216+I216)/(0.5*L*Fsw_DCM))</f>
        <v>1.2777563243787119E-2</v>
      </c>
      <c r="AI216" s="178">
        <f t="shared" ref="AI216:AI247" si="353">MAX(IF(F216&gt;AB216,T216,AH216),Isw_min)</f>
        <v>0.28999999999999998</v>
      </c>
      <c r="AJ216" s="178">
        <f t="shared" ref="AJ216:AJ247" si="354">IF(F216&gt;AF216, (AI216-Isw_min)/1.08*0.8+1.2, AE216*0.2/350+1)</f>
        <v>1.0057142857142858</v>
      </c>
      <c r="AL216" s="562">
        <f t="shared" ref="AL216:AL247" si="355">F216*1000</f>
        <v>1.0000000000000002E-6</v>
      </c>
      <c r="AM216" s="471">
        <f t="shared" ref="AM216:AM247" si="356">IF(F216&gt;AF216, X216, AE216)</f>
        <v>10</v>
      </c>
      <c r="AO216">
        <f t="shared" ref="AO216:AO279" si="357">IF(H216&gt;O216, "",AL216)</f>
        <v>1.0000000000000002E-6</v>
      </c>
      <c r="AP216">
        <f t="shared" ref="AP216:AP279" si="358">IF(H216&gt;O216, "",AM216)</f>
        <v>10</v>
      </c>
      <c r="AR216" s="5">
        <f t="shared" si="322"/>
        <v>100</v>
      </c>
      <c r="AS216" s="5">
        <f t="shared" si="313"/>
        <v>0.92272727272727262</v>
      </c>
      <c r="AT216" s="5">
        <f t="shared" si="314"/>
        <v>99.077272727272728</v>
      </c>
      <c r="AU216" s="178">
        <f t="shared" si="315"/>
        <v>9.2272727272727263E-3</v>
      </c>
      <c r="CD216" s="580">
        <f t="shared" ref="CD216:CD247" si="359">IF(ABS(F216-Ioutmax_Vinmax)&lt;Iout/200, AM216, -50)</f>
        <v>-50</v>
      </c>
    </row>
    <row r="217" spans="5:83" x14ac:dyDescent="0.2">
      <c r="E217" s="175">
        <v>1</v>
      </c>
      <c r="F217" s="222">
        <f t="shared" ref="F217:F248" si="360">IF(PLOT_TYPE=1, E217/100*Iout_max, min_I*EXP(O217*rr/100))</f>
        <v>4.0000000000000001E-3</v>
      </c>
      <c r="G217" s="222">
        <f t="shared" si="329"/>
        <v>2E-3</v>
      </c>
      <c r="H217" s="222">
        <f t="shared" si="330"/>
        <v>4.8000000000000001E-2</v>
      </c>
      <c r="I217" s="222">
        <f t="shared" si="331"/>
        <v>2.4E-2</v>
      </c>
      <c r="J217" s="558">
        <f t="shared" si="332"/>
        <v>26.4</v>
      </c>
      <c r="K217" s="453">
        <f t="shared" si="333"/>
        <v>24.5</v>
      </c>
      <c r="L217" s="453">
        <f t="shared" si="334"/>
        <v>50.9</v>
      </c>
      <c r="M217" s="453"/>
      <c r="N217" s="222">
        <f t="shared" si="335"/>
        <v>0.48133595284872299</v>
      </c>
      <c r="O217" s="177">
        <f t="shared" si="336"/>
        <v>5.8347544204322208</v>
      </c>
      <c r="P217" s="177">
        <f t="shared" si="337"/>
        <v>4.3760658153241652</v>
      </c>
      <c r="Q217" s="222">
        <f t="shared" si="338"/>
        <v>0.4862295350360184</v>
      </c>
      <c r="R217" s="222">
        <f t="shared" si="339"/>
        <v>0.4862295350360184</v>
      </c>
      <c r="S217" s="222">
        <f t="shared" si="340"/>
        <v>12</v>
      </c>
      <c r="T217" s="222">
        <f t="shared" si="341"/>
        <v>1.1928522605214336E-2</v>
      </c>
      <c r="U217" s="222">
        <f t="shared" si="342"/>
        <v>3.7954390107500159E-2</v>
      </c>
      <c r="V217" s="222">
        <f t="shared" si="343"/>
        <v>4.0897791789306283E-2</v>
      </c>
      <c r="W217" s="202">
        <f t="shared" si="344"/>
        <v>350</v>
      </c>
      <c r="X217" s="453">
        <f t="shared" si="345"/>
        <v>350</v>
      </c>
      <c r="Z217" s="222">
        <f t="shared" si="346"/>
        <v>0.4322200392927309</v>
      </c>
      <c r="AA217" s="178">
        <f t="shared" si="347"/>
        <v>1.4818972775750774</v>
      </c>
      <c r="AB217" s="178">
        <f t="shared" si="348"/>
        <v>0.14945132989296789</v>
      </c>
      <c r="AC217" s="178"/>
      <c r="AD217" s="178">
        <f t="shared" si="349"/>
        <v>0.99428571428571422</v>
      </c>
      <c r="AE217" s="562">
        <f t="shared" si="350"/>
        <v>13.872374157748716</v>
      </c>
      <c r="AF217" s="545">
        <f t="shared" si="351"/>
        <v>0.10091999999999998</v>
      </c>
      <c r="AH217" s="178">
        <f t="shared" si="352"/>
        <v>6.9985421222376526E-2</v>
      </c>
      <c r="AI217" s="178">
        <f t="shared" si="353"/>
        <v>0.28999999999999998</v>
      </c>
      <c r="AJ217" s="178">
        <f t="shared" si="354"/>
        <v>1.007927070947285</v>
      </c>
      <c r="AL217" s="562">
        <f t="shared" si="355"/>
        <v>4</v>
      </c>
      <c r="AM217" s="471">
        <f t="shared" si="356"/>
        <v>13.872374157748716</v>
      </c>
      <c r="AO217">
        <f t="shared" si="357"/>
        <v>4</v>
      </c>
      <c r="AP217">
        <f t="shared" si="358"/>
        <v>13.872374157748716</v>
      </c>
      <c r="AR217" s="5">
        <f t="shared" si="322"/>
        <v>72.085714285714261</v>
      </c>
      <c r="AS217" s="5">
        <f t="shared" si="313"/>
        <v>0.92272727272727262</v>
      </c>
      <c r="AT217" s="5">
        <f t="shared" si="314"/>
        <v>71.162987012986989</v>
      </c>
      <c r="AU217" s="178">
        <f t="shared" si="315"/>
        <v>1.280041797283177E-2</v>
      </c>
      <c r="CD217" s="580">
        <f t="shared" si="359"/>
        <v>-50</v>
      </c>
    </row>
    <row r="218" spans="5:83" x14ac:dyDescent="0.2">
      <c r="E218" s="175">
        <v>2</v>
      </c>
      <c r="F218" s="222">
        <f t="shared" si="360"/>
        <v>8.0000000000000002E-3</v>
      </c>
      <c r="G218" s="222">
        <f t="shared" si="329"/>
        <v>4.0000000000000001E-3</v>
      </c>
      <c r="H218" s="222">
        <f t="shared" si="330"/>
        <v>9.6000000000000002E-2</v>
      </c>
      <c r="I218" s="222">
        <f t="shared" si="331"/>
        <v>4.8000000000000001E-2</v>
      </c>
      <c r="J218" s="558">
        <f t="shared" si="332"/>
        <v>26.4</v>
      </c>
      <c r="K218" s="453">
        <f t="shared" si="333"/>
        <v>24.5</v>
      </c>
      <c r="L218" s="453">
        <f t="shared" si="334"/>
        <v>50.9</v>
      </c>
      <c r="M218" s="453"/>
      <c r="N218" s="222">
        <f t="shared" si="335"/>
        <v>0.48133595284872299</v>
      </c>
      <c r="O218" s="177">
        <f t="shared" si="336"/>
        <v>5.8347544204322208</v>
      </c>
      <c r="P218" s="177">
        <f t="shared" si="337"/>
        <v>4.3760658153241652</v>
      </c>
      <c r="Q218" s="222">
        <f t="shared" si="338"/>
        <v>0.4862295350360184</v>
      </c>
      <c r="R218" s="222">
        <f t="shared" si="339"/>
        <v>0.4862295350360184</v>
      </c>
      <c r="S218" s="222">
        <f t="shared" si="340"/>
        <v>12</v>
      </c>
      <c r="T218" s="222">
        <f t="shared" si="341"/>
        <v>2.3857045210428671E-2</v>
      </c>
      <c r="U218" s="222">
        <f t="shared" si="342"/>
        <v>7.5908780215000318E-2</v>
      </c>
      <c r="V218" s="222">
        <f t="shared" si="343"/>
        <v>8.1795583578612566E-2</v>
      </c>
      <c r="W218" s="202">
        <f t="shared" si="344"/>
        <v>350</v>
      </c>
      <c r="X218" s="453">
        <f t="shared" si="345"/>
        <v>350</v>
      </c>
      <c r="Z218" s="222">
        <f t="shared" si="346"/>
        <v>0.4322200392927309</v>
      </c>
      <c r="AA218" s="178">
        <f t="shared" si="347"/>
        <v>1.4818972775750774</v>
      </c>
      <c r="AB218" s="178">
        <f t="shared" si="348"/>
        <v>0.14945132989296789</v>
      </c>
      <c r="AC218" s="178"/>
      <c r="AD218" s="178">
        <f t="shared" si="349"/>
        <v>0.99428571428571422</v>
      </c>
      <c r="AE218" s="562">
        <f t="shared" si="350"/>
        <v>27.744748315497432</v>
      </c>
      <c r="AF218" s="545">
        <f t="shared" si="351"/>
        <v>0.10091999999999998</v>
      </c>
      <c r="AH218" s="178">
        <f t="shared" si="352"/>
        <v>9.8974331861078707E-2</v>
      </c>
      <c r="AI218" s="178">
        <f t="shared" si="353"/>
        <v>0.28999999999999998</v>
      </c>
      <c r="AJ218" s="178">
        <f t="shared" si="354"/>
        <v>1.0158541418945699</v>
      </c>
      <c r="AL218" s="562">
        <f t="shared" si="355"/>
        <v>8</v>
      </c>
      <c r="AM218" s="471">
        <f t="shared" si="356"/>
        <v>27.744748315497432</v>
      </c>
      <c r="AO218">
        <f t="shared" si="357"/>
        <v>8</v>
      </c>
      <c r="AP218">
        <f t="shared" si="358"/>
        <v>27.744748315497432</v>
      </c>
      <c r="AR218" s="5">
        <f t="shared" si="322"/>
        <v>36.04285714285713</v>
      </c>
      <c r="AS218" s="5">
        <f t="shared" si="313"/>
        <v>0.92272727272727262</v>
      </c>
      <c r="AT218" s="5">
        <f t="shared" si="314"/>
        <v>35.120129870129858</v>
      </c>
      <c r="AU218" s="178">
        <f t="shared" si="315"/>
        <v>2.5600835945663539E-2</v>
      </c>
      <c r="CD218" s="580">
        <f t="shared" si="359"/>
        <v>-50</v>
      </c>
    </row>
    <row r="219" spans="5:83" x14ac:dyDescent="0.2">
      <c r="E219" s="175">
        <v>3</v>
      </c>
      <c r="F219" s="222">
        <f t="shared" si="360"/>
        <v>1.2E-2</v>
      </c>
      <c r="G219" s="222">
        <f t="shared" si="329"/>
        <v>6.0000000000000001E-3</v>
      </c>
      <c r="H219" s="222">
        <f t="shared" si="330"/>
        <v>0.14400000000000002</v>
      </c>
      <c r="I219" s="222">
        <f t="shared" si="331"/>
        <v>7.2000000000000008E-2</v>
      </c>
      <c r="J219" s="558">
        <f t="shared" si="332"/>
        <v>26.4</v>
      </c>
      <c r="K219" s="453">
        <f t="shared" si="333"/>
        <v>24.5</v>
      </c>
      <c r="L219" s="453">
        <f t="shared" si="334"/>
        <v>50.9</v>
      </c>
      <c r="M219" s="453"/>
      <c r="N219" s="222">
        <f t="shared" si="335"/>
        <v>0.48133595284872299</v>
      </c>
      <c r="O219" s="177">
        <f t="shared" si="336"/>
        <v>5.8347544204322208</v>
      </c>
      <c r="P219" s="177">
        <f t="shared" si="337"/>
        <v>4.3760658153241652</v>
      </c>
      <c r="Q219" s="222">
        <f t="shared" si="338"/>
        <v>0.4862295350360184</v>
      </c>
      <c r="R219" s="222">
        <f t="shared" si="339"/>
        <v>0.4862295350360184</v>
      </c>
      <c r="S219" s="222">
        <f t="shared" si="340"/>
        <v>12</v>
      </c>
      <c r="T219" s="222">
        <f t="shared" si="341"/>
        <v>3.5785567815643009E-2</v>
      </c>
      <c r="U219" s="222">
        <f t="shared" si="342"/>
        <v>0.11386317032250047</v>
      </c>
      <c r="V219" s="222">
        <f t="shared" si="343"/>
        <v>0.12269337536791888</v>
      </c>
      <c r="W219" s="202">
        <f t="shared" si="344"/>
        <v>350</v>
      </c>
      <c r="X219" s="453">
        <f t="shared" si="345"/>
        <v>350</v>
      </c>
      <c r="Z219" s="222">
        <f t="shared" si="346"/>
        <v>0.4322200392927309</v>
      </c>
      <c r="AA219" s="178">
        <f t="shared" si="347"/>
        <v>1.4818972775750774</v>
      </c>
      <c r="AB219" s="178">
        <f t="shared" si="348"/>
        <v>0.14945132989296789</v>
      </c>
      <c r="AC219" s="178"/>
      <c r="AD219" s="178">
        <f t="shared" si="349"/>
        <v>0.99428571428571422</v>
      </c>
      <c r="AE219" s="562">
        <f t="shared" si="350"/>
        <v>41.617122473246148</v>
      </c>
      <c r="AF219" s="545">
        <f t="shared" si="351"/>
        <v>0.10091999999999998</v>
      </c>
      <c r="AH219" s="178">
        <f t="shared" si="352"/>
        <v>0.12121830534626531</v>
      </c>
      <c r="AI219" s="178">
        <f t="shared" si="353"/>
        <v>0.28999999999999998</v>
      </c>
      <c r="AJ219" s="178">
        <f t="shared" si="354"/>
        <v>1.0237812128418549</v>
      </c>
      <c r="AL219" s="562">
        <f t="shared" si="355"/>
        <v>12</v>
      </c>
      <c r="AM219" s="471">
        <f t="shared" si="356"/>
        <v>41.617122473246148</v>
      </c>
      <c r="AO219">
        <f t="shared" si="357"/>
        <v>12</v>
      </c>
      <c r="AP219">
        <f t="shared" si="358"/>
        <v>41.617122473246148</v>
      </c>
      <c r="AR219" s="5">
        <f t="shared" si="322"/>
        <v>24.028571428571421</v>
      </c>
      <c r="AS219" s="5">
        <f t="shared" si="313"/>
        <v>0.92272727272727262</v>
      </c>
      <c r="AT219" s="5">
        <f t="shared" si="314"/>
        <v>23.105844155844149</v>
      </c>
      <c r="AU219" s="178">
        <f t="shared" si="315"/>
        <v>3.8401253918495304E-2</v>
      </c>
      <c r="CD219" s="580">
        <f t="shared" si="359"/>
        <v>-50</v>
      </c>
    </row>
    <row r="220" spans="5:83" x14ac:dyDescent="0.2">
      <c r="E220" s="175">
        <v>4</v>
      </c>
      <c r="F220" s="222">
        <f t="shared" si="360"/>
        <v>1.6E-2</v>
      </c>
      <c r="G220" s="222">
        <f t="shared" si="329"/>
        <v>8.0000000000000002E-3</v>
      </c>
      <c r="H220" s="222">
        <f t="shared" si="330"/>
        <v>0.192</v>
      </c>
      <c r="I220" s="222">
        <f t="shared" si="331"/>
        <v>9.6000000000000002E-2</v>
      </c>
      <c r="J220" s="558">
        <f t="shared" si="332"/>
        <v>26.4</v>
      </c>
      <c r="K220" s="453">
        <f t="shared" si="333"/>
        <v>24.5</v>
      </c>
      <c r="L220" s="453">
        <f t="shared" si="334"/>
        <v>50.9</v>
      </c>
      <c r="M220" s="453"/>
      <c r="N220" s="222">
        <f t="shared" si="335"/>
        <v>0.48133595284872299</v>
      </c>
      <c r="O220" s="177">
        <f t="shared" si="336"/>
        <v>5.8347544204322208</v>
      </c>
      <c r="P220" s="177">
        <f t="shared" si="337"/>
        <v>4.3760658153241652</v>
      </c>
      <c r="Q220" s="222">
        <f t="shared" si="338"/>
        <v>0.4862295350360184</v>
      </c>
      <c r="R220" s="222">
        <f t="shared" si="339"/>
        <v>0.4862295350360184</v>
      </c>
      <c r="S220" s="222">
        <f t="shared" si="340"/>
        <v>12</v>
      </c>
      <c r="T220" s="222">
        <f t="shared" si="341"/>
        <v>4.7714090420857343E-2</v>
      </c>
      <c r="U220" s="222">
        <f t="shared" si="342"/>
        <v>0.15181756043000064</v>
      </c>
      <c r="V220" s="222">
        <f t="shared" si="343"/>
        <v>0.16359116715722513</v>
      </c>
      <c r="W220" s="202">
        <f t="shared" si="344"/>
        <v>350</v>
      </c>
      <c r="X220" s="453">
        <f t="shared" si="345"/>
        <v>350</v>
      </c>
      <c r="Z220" s="222">
        <f t="shared" si="346"/>
        <v>0.4322200392927309</v>
      </c>
      <c r="AA220" s="178">
        <f t="shared" si="347"/>
        <v>1.4818972775750774</v>
      </c>
      <c r="AB220" s="178">
        <f t="shared" si="348"/>
        <v>0.14945132989296789</v>
      </c>
      <c r="AC220" s="178"/>
      <c r="AD220" s="178">
        <f t="shared" si="349"/>
        <v>0.99428571428571422</v>
      </c>
      <c r="AE220" s="562">
        <f t="shared" si="350"/>
        <v>55.489496630994864</v>
      </c>
      <c r="AF220" s="545">
        <f t="shared" si="351"/>
        <v>0.10091999999999998</v>
      </c>
      <c r="AH220" s="178">
        <f t="shared" si="352"/>
        <v>0.13997084244475305</v>
      </c>
      <c r="AI220" s="178">
        <f t="shared" si="353"/>
        <v>0.28999999999999998</v>
      </c>
      <c r="AJ220" s="178">
        <f t="shared" si="354"/>
        <v>1.0317082837891398</v>
      </c>
      <c r="AL220" s="562">
        <f t="shared" si="355"/>
        <v>16</v>
      </c>
      <c r="AM220" s="471">
        <f t="shared" si="356"/>
        <v>55.489496630994864</v>
      </c>
      <c r="AO220">
        <f t="shared" si="357"/>
        <v>16</v>
      </c>
      <c r="AP220">
        <f t="shared" si="358"/>
        <v>55.489496630994864</v>
      </c>
      <c r="AR220" s="5">
        <f t="shared" si="322"/>
        <v>18.021428571428565</v>
      </c>
      <c r="AS220" s="5">
        <f t="shared" si="313"/>
        <v>0.92272727272727262</v>
      </c>
      <c r="AT220" s="5">
        <f t="shared" si="314"/>
        <v>17.098701298701293</v>
      </c>
      <c r="AU220" s="178">
        <f t="shared" si="315"/>
        <v>5.1201671891327079E-2</v>
      </c>
      <c r="CD220" s="580">
        <f t="shared" si="359"/>
        <v>-50</v>
      </c>
    </row>
    <row r="221" spans="5:83" x14ac:dyDescent="0.2">
      <c r="E221" s="175">
        <v>5</v>
      </c>
      <c r="F221" s="222">
        <f t="shared" si="360"/>
        <v>2.0000000000000004E-2</v>
      </c>
      <c r="G221" s="222">
        <f t="shared" si="329"/>
        <v>1.0000000000000002E-2</v>
      </c>
      <c r="H221" s="222">
        <f t="shared" si="330"/>
        <v>0.24000000000000005</v>
      </c>
      <c r="I221" s="222">
        <f t="shared" si="331"/>
        <v>0.12000000000000002</v>
      </c>
      <c r="J221" s="558">
        <f t="shared" si="332"/>
        <v>26.4</v>
      </c>
      <c r="K221" s="453">
        <f t="shared" si="333"/>
        <v>24.5</v>
      </c>
      <c r="L221" s="453">
        <f t="shared" si="334"/>
        <v>50.9</v>
      </c>
      <c r="M221" s="453"/>
      <c r="N221" s="222">
        <f t="shared" si="335"/>
        <v>0.48133595284872299</v>
      </c>
      <c r="O221" s="177">
        <f t="shared" si="336"/>
        <v>5.8347544204322208</v>
      </c>
      <c r="P221" s="177">
        <f t="shared" si="337"/>
        <v>4.3760658153241652</v>
      </c>
      <c r="Q221" s="222">
        <f t="shared" si="338"/>
        <v>0.4862295350360184</v>
      </c>
      <c r="R221" s="222">
        <f t="shared" si="339"/>
        <v>0.4862295350360184</v>
      </c>
      <c r="S221" s="222">
        <f t="shared" si="340"/>
        <v>12</v>
      </c>
      <c r="T221" s="222">
        <f t="shared" si="341"/>
        <v>5.9642613026071691E-2</v>
      </c>
      <c r="U221" s="222">
        <f t="shared" si="342"/>
        <v>0.18977195053750082</v>
      </c>
      <c r="V221" s="222">
        <f t="shared" si="343"/>
        <v>0.20448895894653149</v>
      </c>
      <c r="W221" s="202">
        <f t="shared" si="344"/>
        <v>350</v>
      </c>
      <c r="X221" s="453">
        <f t="shared" si="345"/>
        <v>350</v>
      </c>
      <c r="Z221" s="222">
        <f t="shared" si="346"/>
        <v>0.4322200392927309</v>
      </c>
      <c r="AA221" s="178">
        <f t="shared" si="347"/>
        <v>1.4818972775750774</v>
      </c>
      <c r="AB221" s="178">
        <f t="shared" si="348"/>
        <v>0.14945132989296789</v>
      </c>
      <c r="AC221" s="178"/>
      <c r="AD221" s="178">
        <f t="shared" si="349"/>
        <v>0.99428571428571422</v>
      </c>
      <c r="AE221" s="562">
        <f t="shared" si="350"/>
        <v>69.361870788743587</v>
      </c>
      <c r="AF221" s="545">
        <f t="shared" si="351"/>
        <v>0.10091999999999998</v>
      </c>
      <c r="AH221" s="178">
        <f t="shared" si="352"/>
        <v>0.15649215928719035</v>
      </c>
      <c r="AI221" s="178">
        <f t="shared" si="353"/>
        <v>0.28999999999999998</v>
      </c>
      <c r="AJ221" s="178">
        <f t="shared" si="354"/>
        <v>1.039635354736425</v>
      </c>
      <c r="AL221" s="562">
        <f t="shared" si="355"/>
        <v>20.000000000000004</v>
      </c>
      <c r="AM221" s="471">
        <f t="shared" si="356"/>
        <v>69.361870788743587</v>
      </c>
      <c r="AO221">
        <f t="shared" si="357"/>
        <v>20.000000000000004</v>
      </c>
      <c r="AP221">
        <f t="shared" si="358"/>
        <v>69.361870788743587</v>
      </c>
      <c r="AR221" s="5">
        <f t="shared" si="322"/>
        <v>14.417142857142851</v>
      </c>
      <c r="AS221" s="5">
        <f t="shared" si="313"/>
        <v>0.92272727272727262</v>
      </c>
      <c r="AT221" s="5">
        <f t="shared" si="314"/>
        <v>13.494415584415579</v>
      </c>
      <c r="AU221" s="178">
        <f t="shared" si="315"/>
        <v>6.4002089864158854E-2</v>
      </c>
      <c r="CD221" s="580">
        <f t="shared" si="359"/>
        <v>-50</v>
      </c>
    </row>
    <row r="222" spans="5:83" x14ac:dyDescent="0.2">
      <c r="E222" s="175">
        <v>6</v>
      </c>
      <c r="F222" s="222">
        <f t="shared" si="360"/>
        <v>2.4E-2</v>
      </c>
      <c r="G222" s="222">
        <f t="shared" si="329"/>
        <v>1.2E-2</v>
      </c>
      <c r="H222" s="222">
        <f t="shared" si="330"/>
        <v>0.28800000000000003</v>
      </c>
      <c r="I222" s="222">
        <f t="shared" si="331"/>
        <v>0.14400000000000002</v>
      </c>
      <c r="J222" s="558">
        <f t="shared" si="332"/>
        <v>26.4</v>
      </c>
      <c r="K222" s="453">
        <f t="shared" si="333"/>
        <v>24.5</v>
      </c>
      <c r="L222" s="453">
        <f t="shared" si="334"/>
        <v>50.9</v>
      </c>
      <c r="M222" s="453"/>
      <c r="N222" s="222">
        <f t="shared" si="335"/>
        <v>0.48133595284872299</v>
      </c>
      <c r="O222" s="177">
        <f t="shared" si="336"/>
        <v>5.8347544204322208</v>
      </c>
      <c r="P222" s="177">
        <f t="shared" si="337"/>
        <v>4.3760658153241652</v>
      </c>
      <c r="Q222" s="222">
        <f t="shared" si="338"/>
        <v>0.4862295350360184</v>
      </c>
      <c r="R222" s="222">
        <f t="shared" si="339"/>
        <v>0.4862295350360184</v>
      </c>
      <c r="S222" s="222">
        <f t="shared" si="340"/>
        <v>12</v>
      </c>
      <c r="T222" s="222">
        <f t="shared" si="341"/>
        <v>7.1571135631286018E-2</v>
      </c>
      <c r="U222" s="222">
        <f t="shared" si="342"/>
        <v>0.22772634064500094</v>
      </c>
      <c r="V222" s="222">
        <f t="shared" si="343"/>
        <v>0.24538675073583777</v>
      </c>
      <c r="W222" s="202">
        <f t="shared" si="344"/>
        <v>350</v>
      </c>
      <c r="X222" s="453">
        <f t="shared" si="345"/>
        <v>350</v>
      </c>
      <c r="Z222" s="222">
        <f t="shared" si="346"/>
        <v>0.4322200392927309</v>
      </c>
      <c r="AA222" s="178">
        <f t="shared" si="347"/>
        <v>1.4818972775750774</v>
      </c>
      <c r="AB222" s="178">
        <f t="shared" si="348"/>
        <v>0.14945132989296789</v>
      </c>
      <c r="AC222" s="178"/>
      <c r="AD222" s="178">
        <f t="shared" si="349"/>
        <v>0.99428571428571422</v>
      </c>
      <c r="AE222" s="562">
        <f t="shared" si="350"/>
        <v>83.234244946492296</v>
      </c>
      <c r="AF222" s="545">
        <f t="shared" si="351"/>
        <v>0.10091999999999998</v>
      </c>
      <c r="AH222" s="178">
        <f t="shared" si="352"/>
        <v>0.17142857142857146</v>
      </c>
      <c r="AI222" s="178">
        <f t="shared" si="353"/>
        <v>0.28999999999999998</v>
      </c>
      <c r="AJ222" s="178">
        <f t="shared" si="354"/>
        <v>1.0475624256837099</v>
      </c>
      <c r="AL222" s="562">
        <f t="shared" si="355"/>
        <v>24</v>
      </c>
      <c r="AM222" s="471">
        <f t="shared" si="356"/>
        <v>83.234244946492296</v>
      </c>
      <c r="AO222">
        <f t="shared" si="357"/>
        <v>24</v>
      </c>
      <c r="AP222">
        <f t="shared" si="358"/>
        <v>83.234244946492296</v>
      </c>
      <c r="AR222" s="5">
        <f t="shared" si="322"/>
        <v>12.014285714285711</v>
      </c>
      <c r="AS222" s="5">
        <f t="shared" si="313"/>
        <v>0.92272727272727262</v>
      </c>
      <c r="AT222" s="5">
        <f t="shared" si="314"/>
        <v>11.091558441558439</v>
      </c>
      <c r="AU222" s="178">
        <f t="shared" si="315"/>
        <v>7.6802507836990608E-2</v>
      </c>
      <c r="CD222" s="580">
        <f t="shared" si="359"/>
        <v>-50</v>
      </c>
    </row>
    <row r="223" spans="5:83" x14ac:dyDescent="0.2">
      <c r="E223" s="175">
        <v>7</v>
      </c>
      <c r="F223" s="222">
        <f t="shared" si="360"/>
        <v>2.8000000000000004E-2</v>
      </c>
      <c r="G223" s="222">
        <f t="shared" si="329"/>
        <v>1.4000000000000002E-2</v>
      </c>
      <c r="H223" s="222">
        <f t="shared" si="330"/>
        <v>0.33600000000000008</v>
      </c>
      <c r="I223" s="222">
        <f t="shared" si="331"/>
        <v>0.16800000000000004</v>
      </c>
      <c r="J223" s="558">
        <f t="shared" si="332"/>
        <v>26.4</v>
      </c>
      <c r="K223" s="453">
        <f t="shared" si="333"/>
        <v>24.5</v>
      </c>
      <c r="L223" s="453">
        <f t="shared" si="334"/>
        <v>50.9</v>
      </c>
      <c r="M223" s="453"/>
      <c r="N223" s="222">
        <f t="shared" si="335"/>
        <v>0.48133595284872299</v>
      </c>
      <c r="O223" s="177">
        <f t="shared" si="336"/>
        <v>5.8347544204322208</v>
      </c>
      <c r="P223" s="177">
        <f t="shared" si="337"/>
        <v>4.3760658153241652</v>
      </c>
      <c r="Q223" s="222">
        <f t="shared" si="338"/>
        <v>0.4862295350360184</v>
      </c>
      <c r="R223" s="222">
        <f t="shared" si="339"/>
        <v>0.4862295350360184</v>
      </c>
      <c r="S223" s="222">
        <f t="shared" si="340"/>
        <v>12</v>
      </c>
      <c r="T223" s="222">
        <f t="shared" si="341"/>
        <v>8.3499658236500365E-2</v>
      </c>
      <c r="U223" s="222">
        <f t="shared" si="342"/>
        <v>0.2656807307525012</v>
      </c>
      <c r="V223" s="222">
        <f t="shared" si="343"/>
        <v>0.28628454252514407</v>
      </c>
      <c r="W223" s="202">
        <f t="shared" si="344"/>
        <v>350</v>
      </c>
      <c r="X223" s="453">
        <f t="shared" si="345"/>
        <v>350</v>
      </c>
      <c r="Z223" s="222">
        <f t="shared" si="346"/>
        <v>0.4322200392927309</v>
      </c>
      <c r="AA223" s="178">
        <f t="shared" si="347"/>
        <v>1.4818972775750774</v>
      </c>
      <c r="AB223" s="178">
        <f t="shared" si="348"/>
        <v>0.14945132989296789</v>
      </c>
      <c r="AC223" s="178"/>
      <c r="AD223" s="178">
        <f t="shared" si="349"/>
        <v>0.99428571428571422</v>
      </c>
      <c r="AE223" s="562">
        <f t="shared" si="350"/>
        <v>97.10661910424102</v>
      </c>
      <c r="AF223" s="545">
        <f t="shared" si="351"/>
        <v>0.10091999999999998</v>
      </c>
      <c r="AH223" s="178">
        <f t="shared" si="352"/>
        <v>0.18516401995451032</v>
      </c>
      <c r="AI223" s="178">
        <f t="shared" si="353"/>
        <v>0.28999999999999998</v>
      </c>
      <c r="AJ223" s="178">
        <f t="shared" si="354"/>
        <v>1.0554894966309949</v>
      </c>
      <c r="AL223" s="562">
        <f t="shared" si="355"/>
        <v>28.000000000000004</v>
      </c>
      <c r="AM223" s="471">
        <f t="shared" si="356"/>
        <v>97.10661910424102</v>
      </c>
      <c r="AO223">
        <f t="shared" si="357"/>
        <v>28.000000000000004</v>
      </c>
      <c r="AP223">
        <f t="shared" si="358"/>
        <v>97.10661910424102</v>
      </c>
      <c r="AR223" s="5">
        <f t="shared" si="322"/>
        <v>10.297959183673466</v>
      </c>
      <c r="AS223" s="5">
        <f t="shared" si="313"/>
        <v>0.92272727272727262</v>
      </c>
      <c r="AT223" s="5">
        <f t="shared" si="314"/>
        <v>9.3752319109461943</v>
      </c>
      <c r="AU223" s="178">
        <f t="shared" si="315"/>
        <v>8.9602925809822376E-2</v>
      </c>
      <c r="CD223" s="580">
        <f t="shared" si="359"/>
        <v>-50</v>
      </c>
    </row>
    <row r="224" spans="5:83" x14ac:dyDescent="0.2">
      <c r="E224" s="175">
        <v>8</v>
      </c>
      <c r="F224" s="222">
        <f t="shared" si="360"/>
        <v>3.2000000000000001E-2</v>
      </c>
      <c r="G224" s="222">
        <f t="shared" si="329"/>
        <v>1.6E-2</v>
      </c>
      <c r="H224" s="222">
        <f t="shared" si="330"/>
        <v>0.38400000000000001</v>
      </c>
      <c r="I224" s="222">
        <f t="shared" si="331"/>
        <v>0.192</v>
      </c>
      <c r="J224" s="558">
        <f t="shared" si="332"/>
        <v>26.4</v>
      </c>
      <c r="K224" s="453">
        <f t="shared" si="333"/>
        <v>24.5</v>
      </c>
      <c r="L224" s="453">
        <f t="shared" si="334"/>
        <v>50.9</v>
      </c>
      <c r="M224" s="453"/>
      <c r="N224" s="222">
        <f t="shared" si="335"/>
        <v>0.48133595284872299</v>
      </c>
      <c r="O224" s="177">
        <f t="shared" si="336"/>
        <v>5.8347544204322208</v>
      </c>
      <c r="P224" s="177">
        <f t="shared" si="337"/>
        <v>4.3760658153241652</v>
      </c>
      <c r="Q224" s="222">
        <f t="shared" si="338"/>
        <v>0.4862295350360184</v>
      </c>
      <c r="R224" s="222">
        <f t="shared" si="339"/>
        <v>0.4862295350360184</v>
      </c>
      <c r="S224" s="222">
        <f t="shared" si="340"/>
        <v>12</v>
      </c>
      <c r="T224" s="222">
        <f t="shared" si="341"/>
        <v>9.5428180841714685E-2</v>
      </c>
      <c r="U224" s="222">
        <f t="shared" si="342"/>
        <v>0.30363512086000127</v>
      </c>
      <c r="V224" s="222">
        <f t="shared" si="343"/>
        <v>0.32718233431445026</v>
      </c>
      <c r="W224" s="202">
        <f t="shared" si="344"/>
        <v>350</v>
      </c>
      <c r="X224" s="453">
        <f t="shared" si="345"/>
        <v>350</v>
      </c>
      <c r="Z224" s="222">
        <f t="shared" si="346"/>
        <v>0.4322200392927309</v>
      </c>
      <c r="AA224" s="178">
        <f t="shared" si="347"/>
        <v>1.4818972775750774</v>
      </c>
      <c r="AB224" s="178">
        <f t="shared" si="348"/>
        <v>0.14945132989296789</v>
      </c>
      <c r="AC224" s="178"/>
      <c r="AD224" s="178">
        <f t="shared" si="349"/>
        <v>0.99428571428571422</v>
      </c>
      <c r="AE224" s="562">
        <f t="shared" si="350"/>
        <v>110.97899326198973</v>
      </c>
      <c r="AF224" s="545">
        <f t="shared" si="351"/>
        <v>0.10091999999999998</v>
      </c>
      <c r="AH224" s="178">
        <f t="shared" si="352"/>
        <v>0.19794866372215741</v>
      </c>
      <c r="AI224" s="178">
        <f t="shared" si="353"/>
        <v>0.28999999999999998</v>
      </c>
      <c r="AJ224" s="178">
        <f t="shared" si="354"/>
        <v>1.0634165675782798</v>
      </c>
      <c r="AL224" s="562">
        <f t="shared" si="355"/>
        <v>32</v>
      </c>
      <c r="AM224" s="471">
        <f t="shared" si="356"/>
        <v>110.97899326198973</v>
      </c>
      <c r="AO224">
        <f t="shared" si="357"/>
        <v>32</v>
      </c>
      <c r="AP224">
        <f t="shared" si="358"/>
        <v>110.97899326198973</v>
      </c>
      <c r="AR224" s="5">
        <f t="shared" si="322"/>
        <v>9.0107142857142826</v>
      </c>
      <c r="AS224" s="5">
        <f t="shared" si="313"/>
        <v>0.92272727272727262</v>
      </c>
      <c r="AT224" s="5">
        <f t="shared" si="314"/>
        <v>8.0879870129870106</v>
      </c>
      <c r="AU224" s="178">
        <f t="shared" si="315"/>
        <v>0.10240334378265416</v>
      </c>
      <c r="CD224" s="580">
        <f t="shared" si="359"/>
        <v>-50</v>
      </c>
    </row>
    <row r="225" spans="5:82" x14ac:dyDescent="0.2">
      <c r="E225" s="175">
        <v>9</v>
      </c>
      <c r="F225" s="222">
        <f t="shared" si="360"/>
        <v>3.5999999999999997E-2</v>
      </c>
      <c r="G225" s="222">
        <f t="shared" si="329"/>
        <v>1.7999999999999999E-2</v>
      </c>
      <c r="H225" s="222">
        <f t="shared" si="330"/>
        <v>0.43199999999999994</v>
      </c>
      <c r="I225" s="222">
        <f t="shared" si="331"/>
        <v>0.21599999999999997</v>
      </c>
      <c r="J225" s="558">
        <f t="shared" si="332"/>
        <v>26.4</v>
      </c>
      <c r="K225" s="453">
        <f t="shared" si="333"/>
        <v>24.5</v>
      </c>
      <c r="L225" s="453">
        <f t="shared" si="334"/>
        <v>50.9</v>
      </c>
      <c r="M225" s="453"/>
      <c r="N225" s="222">
        <f t="shared" si="335"/>
        <v>0.48133595284872299</v>
      </c>
      <c r="O225" s="177">
        <f t="shared" si="336"/>
        <v>5.8347544204322208</v>
      </c>
      <c r="P225" s="177">
        <f t="shared" si="337"/>
        <v>4.3760658153241652</v>
      </c>
      <c r="Q225" s="222">
        <f t="shared" si="338"/>
        <v>0.4862295350360184</v>
      </c>
      <c r="R225" s="222">
        <f t="shared" si="339"/>
        <v>0.4862295350360184</v>
      </c>
      <c r="S225" s="222">
        <f t="shared" si="340"/>
        <v>12</v>
      </c>
      <c r="T225" s="222">
        <f t="shared" si="341"/>
        <v>0.10735670344692899</v>
      </c>
      <c r="U225" s="222">
        <f t="shared" si="342"/>
        <v>0.34158951096750129</v>
      </c>
      <c r="V225" s="222">
        <f t="shared" si="343"/>
        <v>0.36808012610375651</v>
      </c>
      <c r="W225" s="202">
        <f t="shared" si="344"/>
        <v>350</v>
      </c>
      <c r="X225" s="453">
        <f t="shared" si="345"/>
        <v>350</v>
      </c>
      <c r="Z225" s="222">
        <f t="shared" si="346"/>
        <v>0.4322200392927309</v>
      </c>
      <c r="AA225" s="178">
        <f t="shared" si="347"/>
        <v>1.4818972775750774</v>
      </c>
      <c r="AB225" s="178">
        <f t="shared" si="348"/>
        <v>0.14945132989296789</v>
      </c>
      <c r="AC225" s="178"/>
      <c r="AD225" s="178">
        <f t="shared" si="349"/>
        <v>0.99428571428571422</v>
      </c>
      <c r="AE225" s="562">
        <f t="shared" si="350"/>
        <v>124.85136741973842</v>
      </c>
      <c r="AF225" s="545">
        <f t="shared" si="351"/>
        <v>0.10091999999999998</v>
      </c>
      <c r="AH225" s="178">
        <f t="shared" si="352"/>
        <v>0.20995626366712955</v>
      </c>
      <c r="AI225" s="178">
        <f t="shared" si="353"/>
        <v>0.28999999999999998</v>
      </c>
      <c r="AJ225" s="178">
        <f t="shared" si="354"/>
        <v>1.0713436385255648</v>
      </c>
      <c r="AL225" s="562">
        <f t="shared" si="355"/>
        <v>36</v>
      </c>
      <c r="AM225" s="471">
        <f t="shared" si="356"/>
        <v>124.85136741973842</v>
      </c>
      <c r="AO225">
        <f t="shared" si="357"/>
        <v>36</v>
      </c>
      <c r="AP225">
        <f t="shared" si="358"/>
        <v>124.85136741973842</v>
      </c>
      <c r="AR225" s="5">
        <f t="shared" si="322"/>
        <v>8.0095238095238077</v>
      </c>
      <c r="AS225" s="5">
        <f t="shared" si="313"/>
        <v>0.92272727272727262</v>
      </c>
      <c r="AT225" s="5">
        <f t="shared" si="314"/>
        <v>7.0867965367965349</v>
      </c>
      <c r="AU225" s="178">
        <f t="shared" si="315"/>
        <v>0.11520376175548591</v>
      </c>
      <c r="CD225" s="580">
        <f t="shared" si="359"/>
        <v>-50</v>
      </c>
    </row>
    <row r="226" spans="5:82" x14ac:dyDescent="0.2">
      <c r="E226" s="175">
        <v>10</v>
      </c>
      <c r="F226" s="222">
        <f t="shared" si="360"/>
        <v>4.0000000000000008E-2</v>
      </c>
      <c r="G226" s="222">
        <f t="shared" si="329"/>
        <v>2.0000000000000004E-2</v>
      </c>
      <c r="H226" s="222">
        <f t="shared" si="330"/>
        <v>0.48000000000000009</v>
      </c>
      <c r="I226" s="222">
        <f t="shared" si="331"/>
        <v>0.24000000000000005</v>
      </c>
      <c r="J226" s="558">
        <f t="shared" si="332"/>
        <v>26.4</v>
      </c>
      <c r="K226" s="453">
        <f t="shared" si="333"/>
        <v>24.5</v>
      </c>
      <c r="L226" s="453">
        <f t="shared" si="334"/>
        <v>50.9</v>
      </c>
      <c r="M226" s="453"/>
      <c r="N226" s="222">
        <f t="shared" si="335"/>
        <v>0.48133595284872299</v>
      </c>
      <c r="O226" s="177">
        <f t="shared" si="336"/>
        <v>5.8347544204322208</v>
      </c>
      <c r="P226" s="177">
        <f t="shared" si="337"/>
        <v>4.3760658153241652</v>
      </c>
      <c r="Q226" s="222">
        <f t="shared" si="338"/>
        <v>0.4862295350360184</v>
      </c>
      <c r="R226" s="222">
        <f t="shared" si="339"/>
        <v>0.4862295350360184</v>
      </c>
      <c r="S226" s="222">
        <f t="shared" si="340"/>
        <v>12</v>
      </c>
      <c r="T226" s="222">
        <f t="shared" si="341"/>
        <v>0.11928522605214338</v>
      </c>
      <c r="U226" s="222">
        <f t="shared" si="342"/>
        <v>0.37954390107500163</v>
      </c>
      <c r="V226" s="222">
        <f t="shared" si="343"/>
        <v>0.40897791789306298</v>
      </c>
      <c r="W226" s="202">
        <f t="shared" si="344"/>
        <v>350</v>
      </c>
      <c r="X226" s="453">
        <f t="shared" si="345"/>
        <v>350</v>
      </c>
      <c r="Z226" s="222">
        <f t="shared" si="346"/>
        <v>0.4322200392927309</v>
      </c>
      <c r="AA226" s="178">
        <f t="shared" si="347"/>
        <v>1.4818972775750774</v>
      </c>
      <c r="AB226" s="178">
        <f t="shared" si="348"/>
        <v>0.14945132989296789</v>
      </c>
      <c r="AC226" s="178"/>
      <c r="AD226" s="178">
        <f t="shared" si="349"/>
        <v>0.99428571428571422</v>
      </c>
      <c r="AE226" s="562">
        <f t="shared" si="350"/>
        <v>138.72374157748717</v>
      </c>
      <c r="AF226" s="545">
        <f t="shared" si="351"/>
        <v>0.10091999999999998</v>
      </c>
      <c r="AH226" s="178">
        <f t="shared" si="352"/>
        <v>0.22131333406899528</v>
      </c>
      <c r="AI226" s="178">
        <f t="shared" si="353"/>
        <v>0.28999999999999998</v>
      </c>
      <c r="AJ226" s="178">
        <f t="shared" si="354"/>
        <v>1.0792707094728498</v>
      </c>
      <c r="AL226" s="562">
        <f t="shared" si="355"/>
        <v>40.000000000000007</v>
      </c>
      <c r="AM226" s="471">
        <f t="shared" si="356"/>
        <v>138.72374157748717</v>
      </c>
      <c r="AO226">
        <f t="shared" si="357"/>
        <v>40.000000000000007</v>
      </c>
      <c r="AP226">
        <f t="shared" si="358"/>
        <v>138.72374157748717</v>
      </c>
      <c r="AR226" s="5">
        <f t="shared" si="322"/>
        <v>7.2085714285714255</v>
      </c>
      <c r="AS226" s="5">
        <f t="shared" si="313"/>
        <v>0.92272727272727262</v>
      </c>
      <c r="AT226" s="5">
        <f t="shared" si="314"/>
        <v>6.2858441558441527</v>
      </c>
      <c r="AU226" s="178">
        <f t="shared" si="315"/>
        <v>0.12800417972831771</v>
      </c>
      <c r="CD226" s="580">
        <f t="shared" si="359"/>
        <v>-50</v>
      </c>
    </row>
    <row r="227" spans="5:82" x14ac:dyDescent="0.2">
      <c r="E227" s="175">
        <v>11</v>
      </c>
      <c r="F227" s="222">
        <f t="shared" si="360"/>
        <v>4.4000000000000004E-2</v>
      </c>
      <c r="G227" s="222">
        <f t="shared" si="329"/>
        <v>2.2000000000000002E-2</v>
      </c>
      <c r="H227" s="222">
        <f t="shared" si="330"/>
        <v>0.52800000000000002</v>
      </c>
      <c r="I227" s="222">
        <f t="shared" si="331"/>
        <v>0.26400000000000001</v>
      </c>
      <c r="J227" s="558">
        <f t="shared" si="332"/>
        <v>26.4</v>
      </c>
      <c r="K227" s="453">
        <f t="shared" si="333"/>
        <v>24.5</v>
      </c>
      <c r="L227" s="453">
        <f t="shared" si="334"/>
        <v>50.9</v>
      </c>
      <c r="M227" s="453"/>
      <c r="N227" s="222">
        <f t="shared" si="335"/>
        <v>0.48133595284872299</v>
      </c>
      <c r="O227" s="177">
        <f t="shared" si="336"/>
        <v>5.8347544204322208</v>
      </c>
      <c r="P227" s="177">
        <f t="shared" si="337"/>
        <v>4.3760658153241652</v>
      </c>
      <c r="Q227" s="222">
        <f t="shared" si="338"/>
        <v>0.4862295350360184</v>
      </c>
      <c r="R227" s="222">
        <f t="shared" si="339"/>
        <v>0.4862295350360184</v>
      </c>
      <c r="S227" s="222">
        <f t="shared" si="340"/>
        <v>12</v>
      </c>
      <c r="T227" s="222">
        <f t="shared" si="341"/>
        <v>0.13121374865735769</v>
      </c>
      <c r="U227" s="222">
        <f t="shared" si="342"/>
        <v>0.41749829118250176</v>
      </c>
      <c r="V227" s="222">
        <f t="shared" si="343"/>
        <v>0.44987570968236917</v>
      </c>
      <c r="W227" s="202">
        <f t="shared" si="344"/>
        <v>350</v>
      </c>
      <c r="X227" s="453">
        <f t="shared" si="345"/>
        <v>350</v>
      </c>
      <c r="Z227" s="222">
        <f t="shared" si="346"/>
        <v>0.4322200392927309</v>
      </c>
      <c r="AA227" s="178">
        <f t="shared" si="347"/>
        <v>1.4818972775750774</v>
      </c>
      <c r="AB227" s="178">
        <f t="shared" si="348"/>
        <v>0.14945132989296789</v>
      </c>
      <c r="AC227" s="178"/>
      <c r="AD227" s="178">
        <f t="shared" si="349"/>
        <v>0.99428571428571422</v>
      </c>
      <c r="AE227" s="562">
        <f t="shared" si="350"/>
        <v>152.59611573523588</v>
      </c>
      <c r="AF227" s="545">
        <f t="shared" si="351"/>
        <v>0.10091999999999998</v>
      </c>
      <c r="AH227" s="178">
        <f t="shared" si="352"/>
        <v>0.23211538298959888</v>
      </c>
      <c r="AI227" s="178">
        <f t="shared" si="353"/>
        <v>0.28999999999999998</v>
      </c>
      <c r="AJ227" s="178">
        <f t="shared" si="354"/>
        <v>1.0871977804201347</v>
      </c>
      <c r="AL227" s="562">
        <f t="shared" si="355"/>
        <v>44.000000000000007</v>
      </c>
      <c r="AM227" s="471">
        <f t="shared" si="356"/>
        <v>152.59611573523588</v>
      </c>
      <c r="AO227">
        <f t="shared" si="357"/>
        <v>44.000000000000007</v>
      </c>
      <c r="AP227">
        <f t="shared" si="358"/>
        <v>152.59611573523588</v>
      </c>
      <c r="AR227" s="5">
        <f t="shared" si="322"/>
        <v>6.5532467532467509</v>
      </c>
      <c r="AS227" s="5">
        <f t="shared" si="313"/>
        <v>0.92272727272727262</v>
      </c>
      <c r="AT227" s="5">
        <f t="shared" si="314"/>
        <v>5.630519480519478</v>
      </c>
      <c r="AU227" s="178">
        <f t="shared" si="315"/>
        <v>0.14080459770114945</v>
      </c>
      <c r="CD227" s="580">
        <f t="shared" si="359"/>
        <v>-50</v>
      </c>
    </row>
    <row r="228" spans="5:82" x14ac:dyDescent="0.2">
      <c r="E228" s="175">
        <v>12</v>
      </c>
      <c r="F228" s="222">
        <f t="shared" si="360"/>
        <v>4.8000000000000001E-2</v>
      </c>
      <c r="G228" s="222">
        <f t="shared" si="329"/>
        <v>2.4E-2</v>
      </c>
      <c r="H228" s="222">
        <f t="shared" si="330"/>
        <v>0.57600000000000007</v>
      </c>
      <c r="I228" s="222">
        <f t="shared" si="331"/>
        <v>0.28800000000000003</v>
      </c>
      <c r="J228" s="558">
        <f t="shared" si="332"/>
        <v>26.4</v>
      </c>
      <c r="K228" s="453">
        <f t="shared" si="333"/>
        <v>24.5</v>
      </c>
      <c r="L228" s="453">
        <f t="shared" si="334"/>
        <v>50.9</v>
      </c>
      <c r="M228" s="453"/>
      <c r="N228" s="222">
        <f t="shared" si="335"/>
        <v>0.48133595284872299</v>
      </c>
      <c r="O228" s="177">
        <f t="shared" si="336"/>
        <v>5.8347544204322208</v>
      </c>
      <c r="P228" s="177">
        <f t="shared" si="337"/>
        <v>4.3760658153241652</v>
      </c>
      <c r="Q228" s="222">
        <f t="shared" si="338"/>
        <v>0.4862295350360184</v>
      </c>
      <c r="R228" s="222">
        <f t="shared" si="339"/>
        <v>0.4862295350360184</v>
      </c>
      <c r="S228" s="222">
        <f t="shared" si="340"/>
        <v>12</v>
      </c>
      <c r="T228" s="222">
        <f t="shared" si="341"/>
        <v>0.14314227126257204</v>
      </c>
      <c r="U228" s="222">
        <f t="shared" si="342"/>
        <v>0.45545268129000188</v>
      </c>
      <c r="V228" s="222">
        <f t="shared" si="343"/>
        <v>0.49077350147167553</v>
      </c>
      <c r="W228" s="202">
        <f t="shared" si="344"/>
        <v>350</v>
      </c>
      <c r="X228" s="453">
        <f t="shared" si="345"/>
        <v>350</v>
      </c>
      <c r="Z228" s="222">
        <f t="shared" si="346"/>
        <v>0.4322200392927309</v>
      </c>
      <c r="AA228" s="178">
        <f t="shared" si="347"/>
        <v>1.4818972775750774</v>
      </c>
      <c r="AB228" s="178">
        <f t="shared" si="348"/>
        <v>0.14945132989296789</v>
      </c>
      <c r="AC228" s="178"/>
      <c r="AD228" s="178">
        <f t="shared" si="349"/>
        <v>0.99428571428571422</v>
      </c>
      <c r="AE228" s="562">
        <f t="shared" si="350"/>
        <v>166.46848989298459</v>
      </c>
      <c r="AF228" s="545">
        <f t="shared" si="351"/>
        <v>0.10091999999999998</v>
      </c>
      <c r="AH228" s="178">
        <f t="shared" si="352"/>
        <v>0.24243661069253061</v>
      </c>
      <c r="AI228" s="178">
        <f t="shared" si="353"/>
        <v>0.28999999999999998</v>
      </c>
      <c r="AJ228" s="178">
        <f t="shared" si="354"/>
        <v>1.0951248513674197</v>
      </c>
      <c r="AL228" s="562">
        <f t="shared" si="355"/>
        <v>48</v>
      </c>
      <c r="AM228" s="471">
        <f t="shared" si="356"/>
        <v>166.46848989298459</v>
      </c>
      <c r="AO228">
        <f t="shared" si="357"/>
        <v>48</v>
      </c>
      <c r="AP228">
        <f t="shared" si="358"/>
        <v>166.46848989298459</v>
      </c>
      <c r="AR228" s="5">
        <f t="shared" si="322"/>
        <v>6.0071428571428553</v>
      </c>
      <c r="AS228" s="5">
        <f t="shared" si="313"/>
        <v>0.92272727272727262</v>
      </c>
      <c r="AT228" s="5">
        <f t="shared" si="314"/>
        <v>5.0844155844155825</v>
      </c>
      <c r="AU228" s="178">
        <f t="shared" si="315"/>
        <v>0.15360501567398122</v>
      </c>
      <c r="CD228" s="580">
        <f t="shared" si="359"/>
        <v>-50</v>
      </c>
    </row>
    <row r="229" spans="5:82" x14ac:dyDescent="0.2">
      <c r="E229" s="175">
        <v>13</v>
      </c>
      <c r="F229" s="222">
        <f t="shared" si="360"/>
        <v>5.2000000000000005E-2</v>
      </c>
      <c r="G229" s="222">
        <f t="shared" si="329"/>
        <v>2.6000000000000002E-2</v>
      </c>
      <c r="H229" s="222">
        <f t="shared" si="330"/>
        <v>0.62400000000000011</v>
      </c>
      <c r="I229" s="222">
        <f t="shared" si="331"/>
        <v>0.31200000000000006</v>
      </c>
      <c r="J229" s="558">
        <f t="shared" si="332"/>
        <v>26.4</v>
      </c>
      <c r="K229" s="453">
        <f t="shared" si="333"/>
        <v>24.5</v>
      </c>
      <c r="L229" s="453">
        <f t="shared" si="334"/>
        <v>50.9</v>
      </c>
      <c r="M229" s="453"/>
      <c r="N229" s="222">
        <f t="shared" si="335"/>
        <v>0.48133595284872299</v>
      </c>
      <c r="O229" s="177">
        <f t="shared" si="336"/>
        <v>5.8347544204322208</v>
      </c>
      <c r="P229" s="177">
        <f t="shared" si="337"/>
        <v>4.3760658153241652</v>
      </c>
      <c r="Q229" s="222">
        <f t="shared" si="338"/>
        <v>0.4862295350360184</v>
      </c>
      <c r="R229" s="222">
        <f t="shared" si="339"/>
        <v>0.4862295350360184</v>
      </c>
      <c r="S229" s="222">
        <f t="shared" si="340"/>
        <v>12</v>
      </c>
      <c r="T229" s="222">
        <f t="shared" si="341"/>
        <v>0.15507079386778638</v>
      </c>
      <c r="U229" s="222">
        <f t="shared" si="342"/>
        <v>0.49340707139750212</v>
      </c>
      <c r="V229" s="222">
        <f t="shared" si="343"/>
        <v>0.53167129326098184</v>
      </c>
      <c r="W229" s="202">
        <f t="shared" si="344"/>
        <v>350</v>
      </c>
      <c r="X229" s="453">
        <f t="shared" si="345"/>
        <v>350</v>
      </c>
      <c r="Z229" s="222">
        <f t="shared" si="346"/>
        <v>0.4322200392927309</v>
      </c>
      <c r="AA229" s="178">
        <f t="shared" si="347"/>
        <v>1.4818972775750774</v>
      </c>
      <c r="AB229" s="178">
        <f t="shared" si="348"/>
        <v>0.14945132989296789</v>
      </c>
      <c r="AC229" s="178"/>
      <c r="AD229" s="178">
        <f t="shared" si="349"/>
        <v>0.99428571428571422</v>
      </c>
      <c r="AE229" s="562">
        <f t="shared" si="350"/>
        <v>180.3408640507333</v>
      </c>
      <c r="AF229" s="545">
        <f t="shared" si="351"/>
        <v>0.10091999999999998</v>
      </c>
      <c r="AH229" s="178">
        <f t="shared" si="352"/>
        <v>0.25233602475222422</v>
      </c>
      <c r="AI229" s="178">
        <f t="shared" si="353"/>
        <v>0.28999999999999998</v>
      </c>
      <c r="AJ229" s="178">
        <f t="shared" si="354"/>
        <v>1.1030519223147048</v>
      </c>
      <c r="AL229" s="562">
        <f t="shared" si="355"/>
        <v>52.000000000000007</v>
      </c>
      <c r="AM229" s="471">
        <f t="shared" si="356"/>
        <v>180.3408640507333</v>
      </c>
      <c r="AO229">
        <f t="shared" si="357"/>
        <v>52.000000000000007</v>
      </c>
      <c r="AP229">
        <f t="shared" si="358"/>
        <v>180.3408640507333</v>
      </c>
      <c r="AR229" s="5">
        <f t="shared" si="322"/>
        <v>5.545054945054944</v>
      </c>
      <c r="AS229" s="5">
        <f t="shared" si="313"/>
        <v>0.92272727272727262</v>
      </c>
      <c r="AT229" s="5">
        <f t="shared" si="314"/>
        <v>4.6223276723276712</v>
      </c>
      <c r="AU229" s="178">
        <f t="shared" si="315"/>
        <v>0.16640543364681296</v>
      </c>
      <c r="CD229" s="580">
        <f t="shared" si="359"/>
        <v>-50</v>
      </c>
    </row>
    <row r="230" spans="5:82" x14ac:dyDescent="0.2">
      <c r="E230" s="175">
        <v>14</v>
      </c>
      <c r="F230" s="222">
        <f t="shared" si="360"/>
        <v>5.6000000000000008E-2</v>
      </c>
      <c r="G230" s="222">
        <f t="shared" si="329"/>
        <v>2.8000000000000004E-2</v>
      </c>
      <c r="H230" s="222">
        <f t="shared" si="330"/>
        <v>0.67200000000000015</v>
      </c>
      <c r="I230" s="222">
        <f t="shared" si="331"/>
        <v>0.33600000000000008</v>
      </c>
      <c r="J230" s="558">
        <f t="shared" si="332"/>
        <v>26.4</v>
      </c>
      <c r="K230" s="453">
        <f t="shared" si="333"/>
        <v>24.5</v>
      </c>
      <c r="L230" s="453">
        <f t="shared" si="334"/>
        <v>50.9</v>
      </c>
      <c r="M230" s="453"/>
      <c r="N230" s="222">
        <f t="shared" si="335"/>
        <v>0.48133595284872299</v>
      </c>
      <c r="O230" s="177">
        <f t="shared" si="336"/>
        <v>5.8347544204322208</v>
      </c>
      <c r="P230" s="177">
        <f t="shared" si="337"/>
        <v>4.3760658153241652</v>
      </c>
      <c r="Q230" s="222">
        <f t="shared" si="338"/>
        <v>0.4862295350360184</v>
      </c>
      <c r="R230" s="222">
        <f t="shared" si="339"/>
        <v>0.4862295350360184</v>
      </c>
      <c r="S230" s="222">
        <f t="shared" si="340"/>
        <v>12</v>
      </c>
      <c r="T230" s="222">
        <f t="shared" si="341"/>
        <v>0.16699931647300073</v>
      </c>
      <c r="U230" s="222">
        <f t="shared" si="342"/>
        <v>0.53136146150500241</v>
      </c>
      <c r="V230" s="222">
        <f t="shared" si="343"/>
        <v>0.57256908505028814</v>
      </c>
      <c r="W230" s="202">
        <f t="shared" si="344"/>
        <v>350</v>
      </c>
      <c r="X230" s="453">
        <f t="shared" si="345"/>
        <v>350</v>
      </c>
      <c r="Z230" s="222">
        <f t="shared" si="346"/>
        <v>0.4322200392927309</v>
      </c>
      <c r="AA230" s="178">
        <f t="shared" si="347"/>
        <v>1.4818972775750774</v>
      </c>
      <c r="AB230" s="178">
        <f t="shared" si="348"/>
        <v>0.14945132989296789</v>
      </c>
      <c r="AC230" s="178"/>
      <c r="AD230" s="178">
        <f t="shared" si="349"/>
        <v>0.99428571428571422</v>
      </c>
      <c r="AE230" s="562">
        <f t="shared" si="350"/>
        <v>194.21323820848204</v>
      </c>
      <c r="AF230" s="545">
        <f t="shared" si="351"/>
        <v>0.10091999999999998</v>
      </c>
      <c r="AH230" s="178">
        <f t="shared" si="352"/>
        <v>0.2618614682831909</v>
      </c>
      <c r="AI230" s="178">
        <f t="shared" si="353"/>
        <v>0.28999999999999998</v>
      </c>
      <c r="AJ230" s="178">
        <f t="shared" si="354"/>
        <v>1.1109789932619898</v>
      </c>
      <c r="AL230" s="562">
        <f t="shared" si="355"/>
        <v>56.000000000000007</v>
      </c>
      <c r="AM230" s="471">
        <f t="shared" si="356"/>
        <v>194.21323820848204</v>
      </c>
      <c r="AO230">
        <f t="shared" si="357"/>
        <v>56.000000000000007</v>
      </c>
      <c r="AP230">
        <f t="shared" si="358"/>
        <v>194.21323820848204</v>
      </c>
      <c r="AR230" s="5">
        <f t="shared" si="322"/>
        <v>5.1489795918367331</v>
      </c>
      <c r="AS230" s="5">
        <f t="shared" si="313"/>
        <v>0.92272727272727262</v>
      </c>
      <c r="AT230" s="5">
        <f t="shared" si="314"/>
        <v>4.2262523191094603</v>
      </c>
      <c r="AU230" s="178">
        <f t="shared" si="315"/>
        <v>0.17920585161964475</v>
      </c>
      <c r="CD230" s="580">
        <f t="shared" si="359"/>
        <v>-50</v>
      </c>
    </row>
    <row r="231" spans="5:82" x14ac:dyDescent="0.2">
      <c r="E231" s="175">
        <v>15</v>
      </c>
      <c r="F231" s="222">
        <f t="shared" si="360"/>
        <v>0.06</v>
      </c>
      <c r="G231" s="222">
        <f t="shared" si="329"/>
        <v>0.03</v>
      </c>
      <c r="H231" s="222">
        <f t="shared" si="330"/>
        <v>0.72</v>
      </c>
      <c r="I231" s="222">
        <f t="shared" si="331"/>
        <v>0.36</v>
      </c>
      <c r="J231" s="558">
        <f t="shared" si="332"/>
        <v>26.4</v>
      </c>
      <c r="K231" s="453">
        <f t="shared" si="333"/>
        <v>24.5</v>
      </c>
      <c r="L231" s="453">
        <f t="shared" si="334"/>
        <v>50.9</v>
      </c>
      <c r="M231" s="453"/>
      <c r="N231" s="222">
        <f t="shared" si="335"/>
        <v>0.48133595284872299</v>
      </c>
      <c r="O231" s="177">
        <f t="shared" si="336"/>
        <v>5.8347544204322208</v>
      </c>
      <c r="P231" s="177">
        <f t="shared" si="337"/>
        <v>4.3760658153241652</v>
      </c>
      <c r="Q231" s="222">
        <f t="shared" si="338"/>
        <v>0.4862295350360184</v>
      </c>
      <c r="R231" s="222">
        <f t="shared" si="339"/>
        <v>0.4862295350360184</v>
      </c>
      <c r="S231" s="222">
        <f t="shared" si="340"/>
        <v>12</v>
      </c>
      <c r="T231" s="222">
        <f t="shared" si="341"/>
        <v>0.17892783907821502</v>
      </c>
      <c r="U231" s="222">
        <f t="shared" si="342"/>
        <v>0.56931585161250231</v>
      </c>
      <c r="V231" s="222">
        <f t="shared" si="343"/>
        <v>0.61346687683959433</v>
      </c>
      <c r="W231" s="202">
        <f t="shared" si="344"/>
        <v>350</v>
      </c>
      <c r="X231" s="453">
        <f t="shared" si="345"/>
        <v>350</v>
      </c>
      <c r="Z231" s="222">
        <f t="shared" si="346"/>
        <v>0.4322200392927309</v>
      </c>
      <c r="AA231" s="178">
        <f t="shared" si="347"/>
        <v>1.4818972775750774</v>
      </c>
      <c r="AB231" s="178">
        <f t="shared" si="348"/>
        <v>0.14945132989296789</v>
      </c>
      <c r="AC231" s="178"/>
      <c r="AD231" s="178">
        <f t="shared" si="349"/>
        <v>0.99428571428571422</v>
      </c>
      <c r="AE231" s="562">
        <f t="shared" si="350"/>
        <v>208.08561236623072</v>
      </c>
      <c r="AF231" s="545">
        <f t="shared" si="351"/>
        <v>0.10091999999999998</v>
      </c>
      <c r="AH231" s="178">
        <f t="shared" si="352"/>
        <v>0.27105237087157541</v>
      </c>
      <c r="AI231" s="178">
        <f t="shared" si="353"/>
        <v>0.28999999999999998</v>
      </c>
      <c r="AJ231" s="178">
        <f t="shared" si="354"/>
        <v>1.1189060642092747</v>
      </c>
      <c r="AL231" s="562">
        <f t="shared" si="355"/>
        <v>60</v>
      </c>
      <c r="AM231" s="471">
        <f t="shared" si="356"/>
        <v>208.08561236623072</v>
      </c>
      <c r="AO231">
        <f t="shared" si="357"/>
        <v>60</v>
      </c>
      <c r="AP231">
        <f t="shared" si="358"/>
        <v>208.08561236623072</v>
      </c>
      <c r="AR231" s="5">
        <f t="shared" si="322"/>
        <v>4.8057142857142843</v>
      </c>
      <c r="AS231" s="5">
        <f t="shared" si="313"/>
        <v>0.92272727272727262</v>
      </c>
      <c r="AT231" s="5">
        <f t="shared" si="314"/>
        <v>3.8829870129870114</v>
      </c>
      <c r="AU231" s="178">
        <f t="shared" si="315"/>
        <v>0.19200626959247652</v>
      </c>
      <c r="CD231" s="580">
        <f t="shared" si="359"/>
        <v>-50</v>
      </c>
    </row>
    <row r="232" spans="5:82" x14ac:dyDescent="0.2">
      <c r="E232" s="175">
        <v>16</v>
      </c>
      <c r="F232" s="222">
        <f t="shared" si="360"/>
        <v>6.4000000000000001E-2</v>
      </c>
      <c r="G232" s="222">
        <f t="shared" si="329"/>
        <v>3.2000000000000001E-2</v>
      </c>
      <c r="H232" s="222">
        <f t="shared" si="330"/>
        <v>0.76800000000000002</v>
      </c>
      <c r="I232" s="222">
        <f t="shared" si="331"/>
        <v>0.38400000000000001</v>
      </c>
      <c r="J232" s="558">
        <f t="shared" si="332"/>
        <v>26.4</v>
      </c>
      <c r="K232" s="453">
        <f t="shared" si="333"/>
        <v>24.5</v>
      </c>
      <c r="L232" s="453">
        <f t="shared" si="334"/>
        <v>50.9</v>
      </c>
      <c r="M232" s="453"/>
      <c r="N232" s="222">
        <f t="shared" si="335"/>
        <v>0.48133595284872299</v>
      </c>
      <c r="O232" s="177">
        <f t="shared" si="336"/>
        <v>5.8347544204322208</v>
      </c>
      <c r="P232" s="177">
        <f t="shared" si="337"/>
        <v>4.3760658153241652</v>
      </c>
      <c r="Q232" s="222">
        <f t="shared" si="338"/>
        <v>0.4862295350360184</v>
      </c>
      <c r="R232" s="222">
        <f t="shared" si="339"/>
        <v>0.4862295350360184</v>
      </c>
      <c r="S232" s="222">
        <f t="shared" si="340"/>
        <v>12</v>
      </c>
      <c r="T232" s="222">
        <f t="shared" si="341"/>
        <v>0.19085636168342937</v>
      </c>
      <c r="U232" s="222">
        <f t="shared" si="342"/>
        <v>0.60727024172000255</v>
      </c>
      <c r="V232" s="222">
        <f t="shared" si="343"/>
        <v>0.65436466862890053</v>
      </c>
      <c r="W232" s="202">
        <f t="shared" si="344"/>
        <v>350</v>
      </c>
      <c r="X232" s="453">
        <f t="shared" si="345"/>
        <v>350</v>
      </c>
      <c r="Z232" s="222">
        <f t="shared" si="346"/>
        <v>0.4322200392927309</v>
      </c>
      <c r="AA232" s="178">
        <f t="shared" si="347"/>
        <v>1.4818972775750774</v>
      </c>
      <c r="AB232" s="178">
        <f t="shared" si="348"/>
        <v>0.14945132989296789</v>
      </c>
      <c r="AC232" s="178"/>
      <c r="AD232" s="178">
        <f t="shared" si="349"/>
        <v>0.99428571428571422</v>
      </c>
      <c r="AE232" s="562">
        <f t="shared" si="350"/>
        <v>221.95798652397946</v>
      </c>
      <c r="AF232" s="545">
        <f t="shared" si="351"/>
        <v>0.10091999999999998</v>
      </c>
      <c r="AH232" s="178">
        <f t="shared" si="352"/>
        <v>0.2799416848895061</v>
      </c>
      <c r="AI232" s="178">
        <f t="shared" si="353"/>
        <v>0.28999999999999998</v>
      </c>
      <c r="AJ232" s="178">
        <f t="shared" si="354"/>
        <v>1.1268331351565597</v>
      </c>
      <c r="AL232" s="562">
        <f t="shared" si="355"/>
        <v>64</v>
      </c>
      <c r="AM232" s="471">
        <f t="shared" si="356"/>
        <v>221.95798652397946</v>
      </c>
      <c r="AO232">
        <f t="shared" si="357"/>
        <v>64</v>
      </c>
      <c r="AP232">
        <f t="shared" si="358"/>
        <v>221.95798652397946</v>
      </c>
      <c r="AR232" s="5">
        <f t="shared" si="322"/>
        <v>4.5053571428571413</v>
      </c>
      <c r="AS232" s="5">
        <f t="shared" si="313"/>
        <v>0.92272727272727262</v>
      </c>
      <c r="AT232" s="5">
        <f t="shared" si="314"/>
        <v>3.5826298701298684</v>
      </c>
      <c r="AU232" s="178">
        <f t="shared" si="315"/>
        <v>0.20480668756530832</v>
      </c>
      <c r="CD232" s="580">
        <f t="shared" si="359"/>
        <v>-50</v>
      </c>
    </row>
    <row r="233" spans="5:82" x14ac:dyDescent="0.2">
      <c r="E233" s="175">
        <v>17</v>
      </c>
      <c r="F233" s="222">
        <f t="shared" si="360"/>
        <v>6.8000000000000005E-2</v>
      </c>
      <c r="G233" s="222">
        <f t="shared" si="329"/>
        <v>3.4000000000000002E-2</v>
      </c>
      <c r="H233" s="222">
        <f t="shared" si="330"/>
        <v>0.81600000000000006</v>
      </c>
      <c r="I233" s="222">
        <f t="shared" si="331"/>
        <v>0.40800000000000003</v>
      </c>
      <c r="J233" s="558">
        <f t="shared" si="332"/>
        <v>26.4</v>
      </c>
      <c r="K233" s="453">
        <f t="shared" si="333"/>
        <v>24.5</v>
      </c>
      <c r="L233" s="453">
        <f t="shared" si="334"/>
        <v>50.9</v>
      </c>
      <c r="M233" s="453"/>
      <c r="N233" s="222">
        <f t="shared" si="335"/>
        <v>0.48133595284872299</v>
      </c>
      <c r="O233" s="177">
        <f t="shared" si="336"/>
        <v>5.8347544204322208</v>
      </c>
      <c r="P233" s="177">
        <f t="shared" si="337"/>
        <v>4.3760658153241652</v>
      </c>
      <c r="Q233" s="222">
        <f t="shared" si="338"/>
        <v>0.4862295350360184</v>
      </c>
      <c r="R233" s="222">
        <f t="shared" si="339"/>
        <v>0.4862295350360184</v>
      </c>
      <c r="S233" s="222">
        <f t="shared" si="340"/>
        <v>12</v>
      </c>
      <c r="T233" s="222">
        <f t="shared" si="341"/>
        <v>0.20278488428864372</v>
      </c>
      <c r="U233" s="222">
        <f t="shared" si="342"/>
        <v>0.64522463182750267</v>
      </c>
      <c r="V233" s="222">
        <f t="shared" si="343"/>
        <v>0.69526246041820694</v>
      </c>
      <c r="W233" s="202">
        <f t="shared" si="344"/>
        <v>350</v>
      </c>
      <c r="X233" s="453">
        <f t="shared" si="345"/>
        <v>350</v>
      </c>
      <c r="Z233" s="222">
        <f t="shared" si="346"/>
        <v>0.4322200392927309</v>
      </c>
      <c r="AA233" s="178">
        <f t="shared" si="347"/>
        <v>1.4818972775750774</v>
      </c>
      <c r="AB233" s="178">
        <f t="shared" si="348"/>
        <v>0.14945132989296789</v>
      </c>
      <c r="AC233" s="178"/>
      <c r="AD233" s="178">
        <f t="shared" si="349"/>
        <v>0.99428571428571422</v>
      </c>
      <c r="AE233" s="562">
        <f t="shared" si="350"/>
        <v>235.83036068172817</v>
      </c>
      <c r="AF233" s="545">
        <f t="shared" si="351"/>
        <v>0.10091999999999998</v>
      </c>
      <c r="AH233" s="178">
        <f t="shared" si="352"/>
        <v>0.28855728395320224</v>
      </c>
      <c r="AI233" s="178">
        <f t="shared" si="353"/>
        <v>0.28999999999999998</v>
      </c>
      <c r="AJ233" s="178">
        <f t="shared" si="354"/>
        <v>1.1347602061038446</v>
      </c>
      <c r="AL233" s="562">
        <f t="shared" si="355"/>
        <v>68</v>
      </c>
      <c r="AM233" s="471">
        <f t="shared" si="356"/>
        <v>235.83036068172817</v>
      </c>
      <c r="AO233">
        <f t="shared" si="357"/>
        <v>68</v>
      </c>
      <c r="AP233">
        <f t="shared" si="358"/>
        <v>235.83036068172817</v>
      </c>
      <c r="AR233" s="5">
        <f t="shared" si="322"/>
        <v>4.2403361344537807</v>
      </c>
      <c r="AS233" s="5">
        <f t="shared" si="313"/>
        <v>0.92272727272727262</v>
      </c>
      <c r="AT233" s="5">
        <f t="shared" si="314"/>
        <v>3.3176088617265078</v>
      </c>
      <c r="AU233" s="178">
        <f t="shared" si="315"/>
        <v>0.21760710553814003</v>
      </c>
      <c r="CD233" s="580">
        <f t="shared" si="359"/>
        <v>-50</v>
      </c>
    </row>
    <row r="234" spans="5:82" x14ac:dyDescent="0.2">
      <c r="E234" s="175">
        <v>18</v>
      </c>
      <c r="F234" s="222">
        <f t="shared" si="360"/>
        <v>7.1999999999999995E-2</v>
      </c>
      <c r="G234" s="222">
        <f t="shared" si="329"/>
        <v>3.5999999999999997E-2</v>
      </c>
      <c r="H234" s="222">
        <f t="shared" si="330"/>
        <v>0.86399999999999988</v>
      </c>
      <c r="I234" s="222">
        <f t="shared" si="331"/>
        <v>0.43199999999999994</v>
      </c>
      <c r="J234" s="558">
        <f t="shared" si="332"/>
        <v>26.4</v>
      </c>
      <c r="K234" s="453">
        <f t="shared" si="333"/>
        <v>24.5</v>
      </c>
      <c r="L234" s="453">
        <f t="shared" si="334"/>
        <v>50.9</v>
      </c>
      <c r="M234" s="453"/>
      <c r="N234" s="222">
        <f t="shared" si="335"/>
        <v>0.48133595284872299</v>
      </c>
      <c r="O234" s="177">
        <f t="shared" si="336"/>
        <v>5.8347544204322208</v>
      </c>
      <c r="P234" s="177">
        <f t="shared" si="337"/>
        <v>4.3760658153241652</v>
      </c>
      <c r="Q234" s="222">
        <f t="shared" si="338"/>
        <v>0.4862295350360184</v>
      </c>
      <c r="R234" s="222">
        <f t="shared" si="339"/>
        <v>0.4862295350360184</v>
      </c>
      <c r="S234" s="222">
        <f t="shared" si="340"/>
        <v>12</v>
      </c>
      <c r="T234" s="222">
        <f t="shared" si="341"/>
        <v>0.21471340689385798</v>
      </c>
      <c r="U234" s="222">
        <f t="shared" si="342"/>
        <v>0.68317902193500257</v>
      </c>
      <c r="V234" s="222">
        <f t="shared" si="343"/>
        <v>0.73616025220751302</v>
      </c>
      <c r="W234" s="202">
        <f t="shared" si="344"/>
        <v>350</v>
      </c>
      <c r="X234" s="453">
        <f t="shared" si="345"/>
        <v>350</v>
      </c>
      <c r="Z234" s="222">
        <f t="shared" si="346"/>
        <v>0.4322200392927309</v>
      </c>
      <c r="AA234" s="178">
        <f t="shared" si="347"/>
        <v>1.4818972775750774</v>
      </c>
      <c r="AB234" s="178">
        <f t="shared" si="348"/>
        <v>0.14945132989296789</v>
      </c>
      <c r="AC234" s="178"/>
      <c r="AD234" s="178">
        <f t="shared" si="349"/>
        <v>0.99428571428571422</v>
      </c>
      <c r="AE234" s="562">
        <f t="shared" si="350"/>
        <v>249.70273483947685</v>
      </c>
      <c r="AF234" s="545">
        <f t="shared" si="351"/>
        <v>0.10091999999999998</v>
      </c>
      <c r="AH234" s="178">
        <f t="shared" si="352"/>
        <v>0.29692299558323609</v>
      </c>
      <c r="AI234" s="178">
        <f t="shared" si="353"/>
        <v>0.29692299558323609</v>
      </c>
      <c r="AJ234" s="178">
        <f t="shared" si="354"/>
        <v>1.1426872770511296</v>
      </c>
      <c r="AL234" s="562">
        <f t="shared" si="355"/>
        <v>72</v>
      </c>
      <c r="AM234" s="471">
        <f t="shared" si="356"/>
        <v>249.70273483947685</v>
      </c>
      <c r="AO234">
        <f t="shared" si="357"/>
        <v>72</v>
      </c>
      <c r="AP234">
        <f t="shared" si="358"/>
        <v>249.70273483947685</v>
      </c>
      <c r="AR234" s="5">
        <f t="shared" si="322"/>
        <v>4.0047619047619039</v>
      </c>
      <c r="AS234" s="5">
        <f t="shared" si="313"/>
        <v>0.94475498594666019</v>
      </c>
      <c r="AT234" s="5">
        <f t="shared" si="314"/>
        <v>3.0600069188152439</v>
      </c>
      <c r="AU234" s="178">
        <f t="shared" si="315"/>
        <v>0.23590790374411258</v>
      </c>
      <c r="CD234" s="580">
        <f t="shared" si="359"/>
        <v>-50</v>
      </c>
    </row>
    <row r="235" spans="5:82" x14ac:dyDescent="0.2">
      <c r="E235" s="175">
        <v>19</v>
      </c>
      <c r="F235" s="222">
        <f t="shared" si="360"/>
        <v>7.6000000000000012E-2</v>
      </c>
      <c r="G235" s="222">
        <f t="shared" si="329"/>
        <v>3.8000000000000006E-2</v>
      </c>
      <c r="H235" s="222">
        <f t="shared" si="330"/>
        <v>0.91200000000000014</v>
      </c>
      <c r="I235" s="222">
        <f t="shared" si="331"/>
        <v>0.45600000000000007</v>
      </c>
      <c r="J235" s="558">
        <f t="shared" si="332"/>
        <v>26.4</v>
      </c>
      <c r="K235" s="453">
        <f t="shared" si="333"/>
        <v>24.5</v>
      </c>
      <c r="L235" s="453">
        <f t="shared" si="334"/>
        <v>50.9</v>
      </c>
      <c r="M235" s="453"/>
      <c r="N235" s="222">
        <f t="shared" si="335"/>
        <v>0.48133595284872299</v>
      </c>
      <c r="O235" s="177">
        <f t="shared" si="336"/>
        <v>5.8347544204322208</v>
      </c>
      <c r="P235" s="177">
        <f t="shared" si="337"/>
        <v>4.3760658153241652</v>
      </c>
      <c r="Q235" s="222">
        <f t="shared" si="338"/>
        <v>0.4862295350360184</v>
      </c>
      <c r="R235" s="222">
        <f t="shared" si="339"/>
        <v>0.4862295350360184</v>
      </c>
      <c r="S235" s="222">
        <f t="shared" si="340"/>
        <v>12</v>
      </c>
      <c r="T235" s="222">
        <f t="shared" si="341"/>
        <v>0.22664192949907241</v>
      </c>
      <c r="U235" s="222">
        <f t="shared" si="342"/>
        <v>0.72113341204250314</v>
      </c>
      <c r="V235" s="222">
        <f t="shared" si="343"/>
        <v>0.77705804399681955</v>
      </c>
      <c r="W235" s="202">
        <f t="shared" si="344"/>
        <v>350</v>
      </c>
      <c r="X235" s="453">
        <f t="shared" si="345"/>
        <v>350</v>
      </c>
      <c r="Z235" s="222">
        <f t="shared" si="346"/>
        <v>0.4322200392927309</v>
      </c>
      <c r="AA235" s="178">
        <f t="shared" si="347"/>
        <v>1.4818972775750774</v>
      </c>
      <c r="AB235" s="178">
        <f t="shared" si="348"/>
        <v>0.14945132989296789</v>
      </c>
      <c r="AC235" s="178"/>
      <c r="AD235" s="178">
        <f t="shared" si="349"/>
        <v>0.99428571428571422</v>
      </c>
      <c r="AE235" s="562">
        <f t="shared" si="350"/>
        <v>263.57510899722564</v>
      </c>
      <c r="AF235" s="545">
        <f t="shared" si="351"/>
        <v>0.10091999999999998</v>
      </c>
      <c r="AH235" s="178">
        <f t="shared" si="352"/>
        <v>0.30505937862946608</v>
      </c>
      <c r="AI235" s="178">
        <f t="shared" si="353"/>
        <v>0.30505937862946608</v>
      </c>
      <c r="AJ235" s="178">
        <f t="shared" si="354"/>
        <v>1.1506143479984146</v>
      </c>
      <c r="AL235" s="562">
        <f t="shared" si="355"/>
        <v>76.000000000000014</v>
      </c>
      <c r="AM235" s="471">
        <f t="shared" si="356"/>
        <v>263.57510899722564</v>
      </c>
      <c r="AO235">
        <f t="shared" si="357"/>
        <v>76.000000000000014</v>
      </c>
      <c r="AP235">
        <f t="shared" si="358"/>
        <v>263.57510899722564</v>
      </c>
      <c r="AR235" s="5">
        <f t="shared" si="322"/>
        <v>3.7939849624060131</v>
      </c>
      <c r="AS235" s="5">
        <f t="shared" si="313"/>
        <v>0.97064347745739199</v>
      </c>
      <c r="AT235" s="5">
        <f t="shared" si="314"/>
        <v>2.8233414849486209</v>
      </c>
      <c r="AU235" s="178">
        <f t="shared" si="315"/>
        <v>0.25583746036827826</v>
      </c>
      <c r="CD235" s="580">
        <f t="shared" si="359"/>
        <v>-50</v>
      </c>
    </row>
    <row r="236" spans="5:82" x14ac:dyDescent="0.2">
      <c r="E236" s="175">
        <v>20</v>
      </c>
      <c r="F236" s="222">
        <f t="shared" si="360"/>
        <v>8.0000000000000016E-2</v>
      </c>
      <c r="G236" s="222">
        <f t="shared" si="329"/>
        <v>4.0000000000000008E-2</v>
      </c>
      <c r="H236" s="222">
        <f t="shared" si="330"/>
        <v>0.96000000000000019</v>
      </c>
      <c r="I236" s="222">
        <f t="shared" si="331"/>
        <v>0.48000000000000009</v>
      </c>
      <c r="J236" s="558">
        <f t="shared" si="332"/>
        <v>26.4</v>
      </c>
      <c r="K236" s="453">
        <f t="shared" si="333"/>
        <v>24.5</v>
      </c>
      <c r="L236" s="453">
        <f t="shared" si="334"/>
        <v>50.9</v>
      </c>
      <c r="M236" s="453"/>
      <c r="N236" s="222">
        <f t="shared" si="335"/>
        <v>0.48133595284872299</v>
      </c>
      <c r="O236" s="177">
        <f t="shared" si="336"/>
        <v>5.8347544204322208</v>
      </c>
      <c r="P236" s="177">
        <f t="shared" si="337"/>
        <v>4.3760658153241652</v>
      </c>
      <c r="Q236" s="222">
        <f t="shared" si="338"/>
        <v>0.4862295350360184</v>
      </c>
      <c r="R236" s="222">
        <f t="shared" si="339"/>
        <v>0.4862295350360184</v>
      </c>
      <c r="S236" s="222">
        <f t="shared" si="340"/>
        <v>12</v>
      </c>
      <c r="T236" s="222">
        <f t="shared" si="341"/>
        <v>0.23857045210428676</v>
      </c>
      <c r="U236" s="222">
        <f t="shared" si="342"/>
        <v>0.75908780215000327</v>
      </c>
      <c r="V236" s="222">
        <f t="shared" si="343"/>
        <v>0.81795583578612596</v>
      </c>
      <c r="W236" s="202">
        <f t="shared" si="344"/>
        <v>350</v>
      </c>
      <c r="X236" s="453">
        <f t="shared" si="345"/>
        <v>350</v>
      </c>
      <c r="Z236" s="222">
        <f t="shared" si="346"/>
        <v>0.4322200392927309</v>
      </c>
      <c r="AA236" s="178">
        <f t="shared" si="347"/>
        <v>1.4818972775750774</v>
      </c>
      <c r="AB236" s="178">
        <f t="shared" si="348"/>
        <v>0.14945132989296789</v>
      </c>
      <c r="AC236" s="178"/>
      <c r="AD236" s="178">
        <f t="shared" si="349"/>
        <v>0.99428571428571422</v>
      </c>
      <c r="AE236" s="562">
        <f t="shared" si="350"/>
        <v>277.44748315497435</v>
      </c>
      <c r="AF236" s="545">
        <f t="shared" si="351"/>
        <v>0.10091999999999998</v>
      </c>
      <c r="AH236" s="178">
        <f t="shared" si="352"/>
        <v>0.31298431857438069</v>
      </c>
      <c r="AI236" s="178">
        <f t="shared" si="353"/>
        <v>0.31298431857438069</v>
      </c>
      <c r="AJ236" s="178">
        <f t="shared" si="354"/>
        <v>1.1585414189456995</v>
      </c>
      <c r="AL236" s="562">
        <f t="shared" si="355"/>
        <v>80.000000000000014</v>
      </c>
      <c r="AM236" s="471">
        <f t="shared" si="356"/>
        <v>277.44748315497435</v>
      </c>
      <c r="AO236">
        <f t="shared" si="357"/>
        <v>80.000000000000014</v>
      </c>
      <c r="AP236">
        <f t="shared" si="358"/>
        <v>277.44748315497435</v>
      </c>
      <c r="AR236" s="5">
        <f t="shared" si="322"/>
        <v>3.6042857142857128</v>
      </c>
      <c r="AS236" s="5">
        <f t="shared" si="313"/>
        <v>0.99585919546393853</v>
      </c>
      <c r="AT236" s="5">
        <f t="shared" si="314"/>
        <v>2.6084265188217741</v>
      </c>
      <c r="AU236" s="178">
        <f t="shared" si="315"/>
        <v>0.27629862735820737</v>
      </c>
      <c r="CD236" s="580">
        <f t="shared" si="359"/>
        <v>-50</v>
      </c>
    </row>
    <row r="237" spans="5:82" x14ac:dyDescent="0.2">
      <c r="E237" s="175">
        <v>21</v>
      </c>
      <c r="F237" s="222">
        <f t="shared" si="360"/>
        <v>8.4000000000000005E-2</v>
      </c>
      <c r="G237" s="222">
        <f t="shared" si="329"/>
        <v>4.2000000000000003E-2</v>
      </c>
      <c r="H237" s="222">
        <f t="shared" si="330"/>
        <v>1.008</v>
      </c>
      <c r="I237" s="222">
        <f t="shared" si="331"/>
        <v>0.504</v>
      </c>
      <c r="J237" s="558">
        <f t="shared" si="332"/>
        <v>26.4</v>
      </c>
      <c r="K237" s="453">
        <f t="shared" si="333"/>
        <v>24.5</v>
      </c>
      <c r="L237" s="453">
        <f t="shared" si="334"/>
        <v>50.9</v>
      </c>
      <c r="M237" s="453"/>
      <c r="N237" s="222">
        <f t="shared" si="335"/>
        <v>0.48133595284872299</v>
      </c>
      <c r="O237" s="177">
        <f t="shared" si="336"/>
        <v>5.8347544204322208</v>
      </c>
      <c r="P237" s="177">
        <f t="shared" si="337"/>
        <v>4.3760658153241652</v>
      </c>
      <c r="Q237" s="222">
        <f t="shared" si="338"/>
        <v>0.4862295350360184</v>
      </c>
      <c r="R237" s="222">
        <f t="shared" si="339"/>
        <v>0.4862295350360184</v>
      </c>
      <c r="S237" s="222">
        <f t="shared" si="340"/>
        <v>12</v>
      </c>
      <c r="T237" s="222">
        <f t="shared" si="341"/>
        <v>0.25049897470950105</v>
      </c>
      <c r="U237" s="222">
        <f t="shared" si="342"/>
        <v>0.79704219225750339</v>
      </c>
      <c r="V237" s="222">
        <f t="shared" si="343"/>
        <v>0.85885362757543215</v>
      </c>
      <c r="W237" s="202">
        <f t="shared" si="344"/>
        <v>350</v>
      </c>
      <c r="X237" s="453">
        <f t="shared" si="345"/>
        <v>350</v>
      </c>
      <c r="Z237" s="222">
        <f t="shared" si="346"/>
        <v>0.4322200392927309</v>
      </c>
      <c r="AA237" s="178">
        <f t="shared" si="347"/>
        <v>1.4818972775750774</v>
      </c>
      <c r="AB237" s="178">
        <f t="shared" si="348"/>
        <v>0.14945132989296789</v>
      </c>
      <c r="AC237" s="178"/>
      <c r="AD237" s="178">
        <f t="shared" si="349"/>
        <v>0.99428571428571422</v>
      </c>
      <c r="AE237" s="562">
        <f t="shared" si="350"/>
        <v>291.31985731272306</v>
      </c>
      <c r="AF237" s="545">
        <f t="shared" si="351"/>
        <v>0.10091999999999998</v>
      </c>
      <c r="AH237" s="178">
        <f t="shared" si="352"/>
        <v>0.32071349029490925</v>
      </c>
      <c r="AI237" s="178">
        <f t="shared" si="353"/>
        <v>0.32071349029490925</v>
      </c>
      <c r="AJ237" s="178">
        <f t="shared" si="354"/>
        <v>1.1664684898929847</v>
      </c>
      <c r="AL237" s="562">
        <f t="shared" si="355"/>
        <v>84</v>
      </c>
      <c r="AM237" s="471">
        <f t="shared" si="356"/>
        <v>291.31985731272306</v>
      </c>
      <c r="AO237">
        <f t="shared" si="357"/>
        <v>84</v>
      </c>
      <c r="AP237">
        <f t="shared" si="358"/>
        <v>291.31985731272306</v>
      </c>
      <c r="AR237" s="5">
        <f t="shared" si="322"/>
        <v>3.4326530612244883</v>
      </c>
      <c r="AS237" s="5">
        <f t="shared" si="313"/>
        <v>1.0204520145747111</v>
      </c>
      <c r="AT237" s="5">
        <f t="shared" si="314"/>
        <v>2.412201046649777</v>
      </c>
      <c r="AU237" s="178">
        <f t="shared" si="315"/>
        <v>0.29727793528038565</v>
      </c>
      <c r="CD237" s="580">
        <f t="shared" si="359"/>
        <v>-50</v>
      </c>
    </row>
    <row r="238" spans="5:82" x14ac:dyDescent="0.2">
      <c r="E238" s="175">
        <v>22</v>
      </c>
      <c r="F238" s="222">
        <f t="shared" si="360"/>
        <v>8.8000000000000009E-2</v>
      </c>
      <c r="G238" s="222">
        <f t="shared" si="329"/>
        <v>4.4000000000000004E-2</v>
      </c>
      <c r="H238" s="222">
        <f t="shared" si="330"/>
        <v>1.056</v>
      </c>
      <c r="I238" s="222">
        <f t="shared" si="331"/>
        <v>0.52800000000000002</v>
      </c>
      <c r="J238" s="558">
        <f t="shared" si="332"/>
        <v>26.4</v>
      </c>
      <c r="K238" s="453">
        <f t="shared" si="333"/>
        <v>24.5</v>
      </c>
      <c r="L238" s="453">
        <f t="shared" si="334"/>
        <v>50.9</v>
      </c>
      <c r="M238" s="453"/>
      <c r="N238" s="222">
        <f t="shared" si="335"/>
        <v>0.48133595284872299</v>
      </c>
      <c r="O238" s="177">
        <f t="shared" si="336"/>
        <v>5.8347544204322208</v>
      </c>
      <c r="P238" s="177">
        <f t="shared" si="337"/>
        <v>4.3760658153241652</v>
      </c>
      <c r="Q238" s="222">
        <f t="shared" si="338"/>
        <v>0.4862295350360184</v>
      </c>
      <c r="R238" s="222">
        <f t="shared" si="339"/>
        <v>0.4862295350360184</v>
      </c>
      <c r="S238" s="222">
        <f t="shared" si="340"/>
        <v>12</v>
      </c>
      <c r="T238" s="222">
        <f t="shared" si="341"/>
        <v>0.26242749731471537</v>
      </c>
      <c r="U238" s="222">
        <f t="shared" si="342"/>
        <v>0.83499658236500351</v>
      </c>
      <c r="V238" s="222">
        <f t="shared" si="343"/>
        <v>0.89975141936473835</v>
      </c>
      <c r="W238" s="202">
        <f t="shared" si="344"/>
        <v>350</v>
      </c>
      <c r="X238" s="453">
        <f t="shared" si="345"/>
        <v>350</v>
      </c>
      <c r="Z238" s="222">
        <f t="shared" si="346"/>
        <v>0.4322200392927309</v>
      </c>
      <c r="AA238" s="178">
        <f t="shared" si="347"/>
        <v>1.4818972775750774</v>
      </c>
      <c r="AB238" s="178">
        <f t="shared" si="348"/>
        <v>0.14945132989296789</v>
      </c>
      <c r="AC238" s="178"/>
      <c r="AD238" s="178">
        <f t="shared" si="349"/>
        <v>0.99428571428571422</v>
      </c>
      <c r="AE238" s="562">
        <f t="shared" si="350"/>
        <v>305.19223147047177</v>
      </c>
      <c r="AF238" s="545">
        <f t="shared" si="351"/>
        <v>0.10091999999999998</v>
      </c>
      <c r="AH238" s="178">
        <f t="shared" si="352"/>
        <v>0.32826072265931594</v>
      </c>
      <c r="AI238" s="178">
        <f t="shared" si="353"/>
        <v>0.32826072265931594</v>
      </c>
      <c r="AJ238" s="178">
        <f t="shared" si="354"/>
        <v>1.1743955608402696</v>
      </c>
      <c r="AL238" s="562">
        <f t="shared" si="355"/>
        <v>88.000000000000014</v>
      </c>
      <c r="AM238" s="471">
        <f t="shared" si="356"/>
        <v>305.19223147047177</v>
      </c>
      <c r="AO238">
        <f t="shared" si="357"/>
        <v>88.000000000000014</v>
      </c>
      <c r="AP238">
        <f t="shared" si="358"/>
        <v>305.19223147047177</v>
      </c>
      <c r="AR238" s="5">
        <f t="shared" si="322"/>
        <v>3.2766233766233754</v>
      </c>
      <c r="AS238" s="5">
        <f t="shared" si="313"/>
        <v>1.044465935734187</v>
      </c>
      <c r="AT238" s="5">
        <f t="shared" si="314"/>
        <v>2.2321574408891882</v>
      </c>
      <c r="AU238" s="178">
        <f t="shared" si="315"/>
        <v>0.31876288962161087</v>
      </c>
      <c r="CD238" s="580">
        <f t="shared" si="359"/>
        <v>-50</v>
      </c>
    </row>
    <row r="239" spans="5:82" x14ac:dyDescent="0.2">
      <c r="E239" s="175">
        <v>23</v>
      </c>
      <c r="F239" s="222">
        <f t="shared" si="360"/>
        <v>9.2000000000000012E-2</v>
      </c>
      <c r="G239" s="222">
        <f t="shared" si="329"/>
        <v>4.6000000000000006E-2</v>
      </c>
      <c r="H239" s="222">
        <f t="shared" si="330"/>
        <v>1.1040000000000001</v>
      </c>
      <c r="I239" s="222">
        <f t="shared" si="331"/>
        <v>0.55200000000000005</v>
      </c>
      <c r="J239" s="558">
        <f t="shared" si="332"/>
        <v>26.4</v>
      </c>
      <c r="K239" s="453">
        <f t="shared" si="333"/>
        <v>24.5</v>
      </c>
      <c r="L239" s="453">
        <f t="shared" si="334"/>
        <v>50.9</v>
      </c>
      <c r="M239" s="453"/>
      <c r="N239" s="222">
        <f t="shared" si="335"/>
        <v>0.48133595284872299</v>
      </c>
      <c r="O239" s="177">
        <f t="shared" si="336"/>
        <v>5.8347544204322208</v>
      </c>
      <c r="P239" s="177">
        <f t="shared" si="337"/>
        <v>4.3760658153241652</v>
      </c>
      <c r="Q239" s="222">
        <f t="shared" si="338"/>
        <v>0.4862295350360184</v>
      </c>
      <c r="R239" s="222">
        <f t="shared" si="339"/>
        <v>0.4862295350360184</v>
      </c>
      <c r="S239" s="222">
        <f t="shared" si="340"/>
        <v>12</v>
      </c>
      <c r="T239" s="222">
        <f t="shared" si="341"/>
        <v>0.27435601991992975</v>
      </c>
      <c r="U239" s="222">
        <f t="shared" si="342"/>
        <v>0.87295097247250375</v>
      </c>
      <c r="V239" s="222">
        <f t="shared" si="343"/>
        <v>0.94064921115404487</v>
      </c>
      <c r="W239" s="202">
        <f t="shared" si="344"/>
        <v>350</v>
      </c>
      <c r="X239" s="453">
        <f t="shared" si="345"/>
        <v>350</v>
      </c>
      <c r="Z239" s="222">
        <f t="shared" si="346"/>
        <v>0.4322200392927309</v>
      </c>
      <c r="AA239" s="178">
        <f t="shared" si="347"/>
        <v>1.4818972775750774</v>
      </c>
      <c r="AB239" s="178">
        <f t="shared" si="348"/>
        <v>0.14945132989296789</v>
      </c>
      <c r="AC239" s="178"/>
      <c r="AD239" s="178">
        <f t="shared" si="349"/>
        <v>0.99428571428571422</v>
      </c>
      <c r="AE239" s="562">
        <f t="shared" si="350"/>
        <v>319.06460562822048</v>
      </c>
      <c r="AF239" s="545">
        <f t="shared" si="351"/>
        <v>0.10091999999999998</v>
      </c>
      <c r="AH239" s="178">
        <f t="shared" si="352"/>
        <v>0.3356382892705923</v>
      </c>
      <c r="AI239" s="178">
        <f t="shared" si="353"/>
        <v>0.3356382892705923</v>
      </c>
      <c r="AJ239" s="178">
        <f t="shared" si="354"/>
        <v>1.1823226317875546</v>
      </c>
      <c r="AL239" s="562">
        <f t="shared" si="355"/>
        <v>92.000000000000014</v>
      </c>
      <c r="AM239" s="471">
        <f t="shared" si="356"/>
        <v>319.06460562822048</v>
      </c>
      <c r="AO239">
        <f t="shared" si="357"/>
        <v>92.000000000000014</v>
      </c>
      <c r="AP239">
        <f t="shared" si="358"/>
        <v>319.06460562822048</v>
      </c>
      <c r="AR239" s="5">
        <f t="shared" si="322"/>
        <v>3.1341614906832289</v>
      </c>
      <c r="AS239" s="5">
        <f t="shared" si="313"/>
        <v>1.0679400113155211</v>
      </c>
      <c r="AT239" s="5">
        <f t="shared" si="314"/>
        <v>2.0662214793677078</v>
      </c>
      <c r="AU239" s="178">
        <f t="shared" si="315"/>
        <v>0.34074185854498401</v>
      </c>
      <c r="CD239" s="580">
        <f t="shared" si="359"/>
        <v>-50</v>
      </c>
    </row>
    <row r="240" spans="5:82" x14ac:dyDescent="0.2">
      <c r="E240" s="175">
        <v>24</v>
      </c>
      <c r="F240" s="222">
        <f t="shared" si="360"/>
        <v>9.6000000000000002E-2</v>
      </c>
      <c r="G240" s="222">
        <f t="shared" si="329"/>
        <v>4.8000000000000001E-2</v>
      </c>
      <c r="H240" s="222">
        <f t="shared" si="330"/>
        <v>1.1520000000000001</v>
      </c>
      <c r="I240" s="222">
        <f t="shared" si="331"/>
        <v>0.57600000000000007</v>
      </c>
      <c r="J240" s="558">
        <f t="shared" si="332"/>
        <v>26.4</v>
      </c>
      <c r="K240" s="453">
        <f t="shared" si="333"/>
        <v>24.5</v>
      </c>
      <c r="L240" s="453">
        <f t="shared" si="334"/>
        <v>50.9</v>
      </c>
      <c r="M240" s="453"/>
      <c r="N240" s="222">
        <f t="shared" si="335"/>
        <v>0.48133595284872299</v>
      </c>
      <c r="O240" s="177">
        <f t="shared" si="336"/>
        <v>5.8347544204322208</v>
      </c>
      <c r="P240" s="177">
        <f t="shared" si="337"/>
        <v>4.3760658153241652</v>
      </c>
      <c r="Q240" s="222">
        <f t="shared" si="338"/>
        <v>0.4862295350360184</v>
      </c>
      <c r="R240" s="222">
        <f t="shared" si="339"/>
        <v>0.4862295350360184</v>
      </c>
      <c r="S240" s="222">
        <f t="shared" si="340"/>
        <v>12</v>
      </c>
      <c r="T240" s="222">
        <f t="shared" si="341"/>
        <v>0.28628454252514407</v>
      </c>
      <c r="U240" s="222">
        <f t="shared" si="342"/>
        <v>0.91090536258000376</v>
      </c>
      <c r="V240" s="222">
        <f t="shared" si="343"/>
        <v>0.98154700294335107</v>
      </c>
      <c r="W240" s="202">
        <f t="shared" si="344"/>
        <v>350</v>
      </c>
      <c r="X240" s="453">
        <f t="shared" si="345"/>
        <v>350</v>
      </c>
      <c r="Z240" s="222">
        <f t="shared" si="346"/>
        <v>0.4322200392927309</v>
      </c>
      <c r="AA240" s="178">
        <f t="shared" si="347"/>
        <v>1.4818972775750774</v>
      </c>
      <c r="AB240" s="178">
        <f t="shared" si="348"/>
        <v>0.14945132989296789</v>
      </c>
      <c r="AC240" s="178"/>
      <c r="AD240" s="178">
        <f t="shared" si="349"/>
        <v>0.99428571428571422</v>
      </c>
      <c r="AE240" s="562">
        <f t="shared" si="350"/>
        <v>332.93697978596919</v>
      </c>
      <c r="AF240" s="545">
        <f t="shared" si="351"/>
        <v>0.10091999999999998</v>
      </c>
      <c r="AH240" s="178">
        <f t="shared" si="352"/>
        <v>0.34285714285714292</v>
      </c>
      <c r="AI240" s="178">
        <f t="shared" si="353"/>
        <v>0.34285714285714292</v>
      </c>
      <c r="AJ240" s="178">
        <f t="shared" si="354"/>
        <v>1.1902497027348395</v>
      </c>
      <c r="AL240" s="562">
        <f t="shared" si="355"/>
        <v>96</v>
      </c>
      <c r="AM240" s="471">
        <f t="shared" si="356"/>
        <v>332.93697978596919</v>
      </c>
      <c r="AO240">
        <f t="shared" si="357"/>
        <v>96</v>
      </c>
      <c r="AP240">
        <f t="shared" si="358"/>
        <v>332.93697978596919</v>
      </c>
      <c r="AR240" s="5">
        <f t="shared" si="322"/>
        <v>3.0035714285714277</v>
      </c>
      <c r="AS240" s="5">
        <f t="shared" si="313"/>
        <v>1.0909090909090911</v>
      </c>
      <c r="AT240" s="5">
        <f t="shared" si="314"/>
        <v>1.9126623376623366</v>
      </c>
      <c r="AU240" s="178">
        <f t="shared" si="315"/>
        <v>0.36320397794833009</v>
      </c>
      <c r="CD240" s="580">
        <f t="shared" si="359"/>
        <v>-50</v>
      </c>
    </row>
    <row r="241" spans="5:82" x14ac:dyDescent="0.2">
      <c r="E241" s="175">
        <v>25</v>
      </c>
      <c r="F241" s="222">
        <f t="shared" si="360"/>
        <v>0.1</v>
      </c>
      <c r="G241" s="222">
        <f t="shared" si="329"/>
        <v>0.05</v>
      </c>
      <c r="H241" s="222">
        <f t="shared" si="330"/>
        <v>1.2000000000000002</v>
      </c>
      <c r="I241" s="222">
        <f t="shared" si="331"/>
        <v>0.60000000000000009</v>
      </c>
      <c r="J241" s="558">
        <f t="shared" si="332"/>
        <v>26.4</v>
      </c>
      <c r="K241" s="453">
        <f t="shared" si="333"/>
        <v>24.5</v>
      </c>
      <c r="L241" s="453">
        <f t="shared" si="334"/>
        <v>50.9</v>
      </c>
      <c r="M241" s="453"/>
      <c r="N241" s="222">
        <f t="shared" si="335"/>
        <v>0.48133595284872299</v>
      </c>
      <c r="O241" s="177">
        <f t="shared" si="336"/>
        <v>5.8347544204322208</v>
      </c>
      <c r="P241" s="177">
        <f t="shared" si="337"/>
        <v>4.3760658153241652</v>
      </c>
      <c r="Q241" s="222">
        <f t="shared" si="338"/>
        <v>0.4862295350360184</v>
      </c>
      <c r="R241" s="222">
        <f t="shared" si="339"/>
        <v>0.4862295350360184</v>
      </c>
      <c r="S241" s="222">
        <f t="shared" si="340"/>
        <v>12</v>
      </c>
      <c r="T241" s="222">
        <f t="shared" si="341"/>
        <v>0.29821306513035839</v>
      </c>
      <c r="U241" s="222">
        <f t="shared" si="342"/>
        <v>0.948859752687504</v>
      </c>
      <c r="V241" s="222">
        <f t="shared" si="343"/>
        <v>1.0224447947326571</v>
      </c>
      <c r="W241" s="202">
        <f t="shared" si="344"/>
        <v>350</v>
      </c>
      <c r="X241" s="453">
        <f t="shared" si="345"/>
        <v>350</v>
      </c>
      <c r="Z241" s="222">
        <f t="shared" si="346"/>
        <v>0.4322200392927309</v>
      </c>
      <c r="AA241" s="178">
        <f t="shared" si="347"/>
        <v>1.4818972775750774</v>
      </c>
      <c r="AB241" s="178">
        <f t="shared" si="348"/>
        <v>0.14945132989296789</v>
      </c>
      <c r="AC241" s="178"/>
      <c r="AD241" s="178">
        <f t="shared" si="349"/>
        <v>0.99428571428571422</v>
      </c>
      <c r="AE241" s="562">
        <f t="shared" si="350"/>
        <v>346.80935394371789</v>
      </c>
      <c r="AF241" s="545">
        <f t="shared" si="351"/>
        <v>0.10091999999999998</v>
      </c>
      <c r="AH241" s="178">
        <f t="shared" si="352"/>
        <v>0.3499271061118826</v>
      </c>
      <c r="AI241" s="178">
        <f t="shared" si="353"/>
        <v>0.3499271061118826</v>
      </c>
      <c r="AJ241" s="178">
        <f t="shared" si="354"/>
        <v>1.1981767736821245</v>
      </c>
      <c r="AL241" s="562">
        <f t="shared" si="355"/>
        <v>100</v>
      </c>
      <c r="AM241" s="471">
        <f t="shared" si="356"/>
        <v>346.80935394371789</v>
      </c>
      <c r="AO241">
        <f t="shared" si="357"/>
        <v>100</v>
      </c>
      <c r="AP241">
        <f t="shared" si="358"/>
        <v>346.80935394371789</v>
      </c>
      <c r="AR241" s="5">
        <f t="shared" si="322"/>
        <v>2.8834285714285706</v>
      </c>
      <c r="AS241" s="5">
        <f t="shared" si="313"/>
        <v>1.1134044285378082</v>
      </c>
      <c r="AT241" s="5">
        <f t="shared" si="314"/>
        <v>1.7700241428907624</v>
      </c>
      <c r="AU241" s="178">
        <f t="shared" si="315"/>
        <v>0.38613907053927166</v>
      </c>
      <c r="CD241" s="580">
        <f t="shared" si="359"/>
        <v>-50</v>
      </c>
    </row>
    <row r="242" spans="5:82" x14ac:dyDescent="0.2">
      <c r="E242" s="175">
        <v>26</v>
      </c>
      <c r="F242" s="222">
        <f t="shared" si="360"/>
        <v>0.10400000000000001</v>
      </c>
      <c r="G242" s="222">
        <f t="shared" si="329"/>
        <v>5.2000000000000005E-2</v>
      </c>
      <c r="H242" s="222">
        <f t="shared" si="330"/>
        <v>1.2480000000000002</v>
      </c>
      <c r="I242" s="222">
        <f t="shared" si="331"/>
        <v>0.62400000000000011</v>
      </c>
      <c r="J242" s="558">
        <f t="shared" si="332"/>
        <v>26.4</v>
      </c>
      <c r="K242" s="453">
        <f t="shared" si="333"/>
        <v>24.5</v>
      </c>
      <c r="L242" s="453">
        <f t="shared" si="334"/>
        <v>50.9</v>
      </c>
      <c r="M242" s="453"/>
      <c r="N242" s="222">
        <f t="shared" si="335"/>
        <v>0.48133595284872299</v>
      </c>
      <c r="O242" s="177">
        <f t="shared" si="336"/>
        <v>5.8347544204322208</v>
      </c>
      <c r="P242" s="177">
        <f t="shared" si="337"/>
        <v>4.3760658153241652</v>
      </c>
      <c r="Q242" s="222">
        <f t="shared" si="338"/>
        <v>0.4862295350360184</v>
      </c>
      <c r="R242" s="222">
        <f t="shared" si="339"/>
        <v>0.4862295350360184</v>
      </c>
      <c r="S242" s="222">
        <f t="shared" si="340"/>
        <v>12</v>
      </c>
      <c r="T242" s="222">
        <f t="shared" si="341"/>
        <v>0.31014158773557277</v>
      </c>
      <c r="U242" s="222">
        <f t="shared" si="342"/>
        <v>0.98681414279500423</v>
      </c>
      <c r="V242" s="222">
        <f t="shared" si="343"/>
        <v>1.0633425865219637</v>
      </c>
      <c r="W242" s="202">
        <f t="shared" si="344"/>
        <v>350</v>
      </c>
      <c r="X242" s="453">
        <f t="shared" si="345"/>
        <v>350</v>
      </c>
      <c r="Z242" s="222">
        <f t="shared" si="346"/>
        <v>0.4322200392927309</v>
      </c>
      <c r="AA242" s="178">
        <f t="shared" si="347"/>
        <v>1.4818972775750774</v>
      </c>
      <c r="AB242" s="178">
        <f t="shared" si="348"/>
        <v>0.14945132989296789</v>
      </c>
      <c r="AC242" s="178"/>
      <c r="AD242" s="178">
        <f t="shared" si="349"/>
        <v>0.99428571428571422</v>
      </c>
      <c r="AE242" s="562">
        <f t="shared" si="350"/>
        <v>360.6817281014666</v>
      </c>
      <c r="AF242" s="545">
        <f t="shared" si="351"/>
        <v>0.10091999999999998</v>
      </c>
      <c r="AH242" s="178">
        <f t="shared" si="352"/>
        <v>0.35685702847990852</v>
      </c>
      <c r="AI242" s="178">
        <f t="shared" si="353"/>
        <v>0.35685702847990852</v>
      </c>
      <c r="AJ242" s="178">
        <f t="shared" si="354"/>
        <v>1.2495237247999322</v>
      </c>
      <c r="AL242" s="562">
        <f t="shared" si="355"/>
        <v>104.00000000000001</v>
      </c>
      <c r="AM242" s="471">
        <f t="shared" si="356"/>
        <v>350</v>
      </c>
      <c r="AO242">
        <f t="shared" si="357"/>
        <v>104.00000000000001</v>
      </c>
      <c r="AP242">
        <f t="shared" si="358"/>
        <v>350</v>
      </c>
      <c r="AR242" s="5">
        <f t="shared" si="322"/>
        <v>2.8571428571428572</v>
      </c>
      <c r="AS242" s="5">
        <f t="shared" si="313"/>
        <v>1.1354541815269816</v>
      </c>
      <c r="AT242" s="5">
        <f t="shared" si="314"/>
        <v>1.7216886756158756</v>
      </c>
      <c r="AU242" s="178">
        <f t="shared" si="315"/>
        <v>0.39740896353444355</v>
      </c>
      <c r="CD242" s="580">
        <f t="shared" si="359"/>
        <v>-50</v>
      </c>
    </row>
    <row r="243" spans="5:82" x14ac:dyDescent="0.2">
      <c r="E243" s="175">
        <v>27</v>
      </c>
      <c r="F243" s="222">
        <f t="shared" si="360"/>
        <v>0.10800000000000001</v>
      </c>
      <c r="G243" s="222">
        <f t="shared" si="329"/>
        <v>5.4000000000000006E-2</v>
      </c>
      <c r="H243" s="222">
        <f t="shared" si="330"/>
        <v>1.2960000000000003</v>
      </c>
      <c r="I243" s="222">
        <f t="shared" si="331"/>
        <v>0.64800000000000013</v>
      </c>
      <c r="J243" s="558">
        <f t="shared" si="332"/>
        <v>26.4</v>
      </c>
      <c r="K243" s="453">
        <f t="shared" si="333"/>
        <v>24.5</v>
      </c>
      <c r="L243" s="453">
        <f t="shared" si="334"/>
        <v>50.9</v>
      </c>
      <c r="M243" s="453"/>
      <c r="N243" s="222">
        <f t="shared" si="335"/>
        <v>0.48133595284872299</v>
      </c>
      <c r="O243" s="177">
        <f t="shared" si="336"/>
        <v>5.8347544204322208</v>
      </c>
      <c r="P243" s="177">
        <f t="shared" si="337"/>
        <v>4.3760658153241652</v>
      </c>
      <c r="Q243" s="222">
        <f t="shared" si="338"/>
        <v>0.4862295350360184</v>
      </c>
      <c r="R243" s="222">
        <f t="shared" si="339"/>
        <v>0.4862295350360184</v>
      </c>
      <c r="S243" s="222">
        <f t="shared" si="340"/>
        <v>12</v>
      </c>
      <c r="T243" s="222">
        <f t="shared" si="341"/>
        <v>0.32207011034078709</v>
      </c>
      <c r="U243" s="222">
        <f t="shared" si="342"/>
        <v>1.0247685329025045</v>
      </c>
      <c r="V243" s="222">
        <f t="shared" si="343"/>
        <v>1.10424037831127</v>
      </c>
      <c r="W243" s="202">
        <f t="shared" si="344"/>
        <v>350</v>
      </c>
      <c r="X243" s="453">
        <f t="shared" si="345"/>
        <v>350</v>
      </c>
      <c r="Z243" s="222">
        <f t="shared" si="346"/>
        <v>0.4322200392927309</v>
      </c>
      <c r="AA243" s="178">
        <f t="shared" si="347"/>
        <v>1.4818972775750774</v>
      </c>
      <c r="AB243" s="178">
        <f t="shared" si="348"/>
        <v>0.14945132989296789</v>
      </c>
      <c r="AC243" s="178"/>
      <c r="AD243" s="178">
        <f t="shared" si="349"/>
        <v>0.99428571428571422</v>
      </c>
      <c r="AE243" s="562">
        <f t="shared" si="350"/>
        <v>374.55410225921537</v>
      </c>
      <c r="AF243" s="545">
        <f t="shared" si="351"/>
        <v>0.10091999999999998</v>
      </c>
      <c r="AH243" s="178">
        <f t="shared" si="352"/>
        <v>0.36365491603879591</v>
      </c>
      <c r="AI243" s="178">
        <f t="shared" si="353"/>
        <v>0.36365491603879591</v>
      </c>
      <c r="AJ243" s="178">
        <f t="shared" si="354"/>
        <v>1.2545591970657748</v>
      </c>
      <c r="AL243" s="562">
        <f t="shared" si="355"/>
        <v>108.00000000000001</v>
      </c>
      <c r="AM243" s="471">
        <f t="shared" si="356"/>
        <v>350</v>
      </c>
      <c r="AO243">
        <f t="shared" si="357"/>
        <v>108.00000000000001</v>
      </c>
      <c r="AP243">
        <f t="shared" si="358"/>
        <v>350</v>
      </c>
      <c r="AR243" s="5">
        <f t="shared" si="322"/>
        <v>2.8571428571428572</v>
      </c>
      <c r="AS243" s="5">
        <f t="shared" ref="AS243:AS306" si="361">L*AI243/J243*1000000</f>
        <v>1.1570838237598053</v>
      </c>
      <c r="AT243" s="5">
        <f t="shared" ref="AT243:AT306" si="362">AR243-AS243</f>
        <v>1.7000590333830519</v>
      </c>
      <c r="AU243" s="178">
        <f t="shared" ref="AU243:AU306" si="363">AS243/AR243</f>
        <v>0.40497933831593186</v>
      </c>
      <c r="CD243" s="580">
        <f t="shared" si="359"/>
        <v>-50</v>
      </c>
    </row>
    <row r="244" spans="5:82" x14ac:dyDescent="0.2">
      <c r="E244" s="175">
        <v>28</v>
      </c>
      <c r="F244" s="222">
        <f t="shared" si="360"/>
        <v>0.11200000000000002</v>
      </c>
      <c r="G244" s="222">
        <f t="shared" si="329"/>
        <v>5.6000000000000008E-2</v>
      </c>
      <c r="H244" s="222">
        <f t="shared" si="330"/>
        <v>1.3440000000000003</v>
      </c>
      <c r="I244" s="222">
        <f t="shared" si="331"/>
        <v>0.67200000000000015</v>
      </c>
      <c r="J244" s="558">
        <f t="shared" si="332"/>
        <v>26.4</v>
      </c>
      <c r="K244" s="453">
        <f t="shared" si="333"/>
        <v>24.5</v>
      </c>
      <c r="L244" s="453">
        <f t="shared" si="334"/>
        <v>50.9</v>
      </c>
      <c r="M244" s="453"/>
      <c r="N244" s="222">
        <f t="shared" si="335"/>
        <v>0.48133595284872299</v>
      </c>
      <c r="O244" s="177">
        <f t="shared" si="336"/>
        <v>5.8347544204322208</v>
      </c>
      <c r="P244" s="177">
        <f t="shared" si="337"/>
        <v>4.3760658153241652</v>
      </c>
      <c r="Q244" s="222">
        <f t="shared" si="338"/>
        <v>0.4862295350360184</v>
      </c>
      <c r="R244" s="222">
        <f t="shared" si="339"/>
        <v>0.4862295350360184</v>
      </c>
      <c r="S244" s="222">
        <f t="shared" si="340"/>
        <v>12</v>
      </c>
      <c r="T244" s="222">
        <f t="shared" si="341"/>
        <v>0.33399863294600146</v>
      </c>
      <c r="U244" s="222">
        <f t="shared" si="342"/>
        <v>1.0627229230100048</v>
      </c>
      <c r="V244" s="222">
        <f t="shared" si="343"/>
        <v>1.1451381701005763</v>
      </c>
      <c r="W244" s="202">
        <f t="shared" si="344"/>
        <v>350</v>
      </c>
      <c r="X244" s="453">
        <f t="shared" si="345"/>
        <v>350</v>
      </c>
      <c r="Z244" s="222">
        <f t="shared" si="346"/>
        <v>0.4322200392927309</v>
      </c>
      <c r="AA244" s="178">
        <f t="shared" si="347"/>
        <v>1.4818972775750774</v>
      </c>
      <c r="AB244" s="178">
        <f t="shared" si="348"/>
        <v>0.14945132989296789</v>
      </c>
      <c r="AC244" s="178"/>
      <c r="AD244" s="178">
        <f t="shared" si="349"/>
        <v>0.99428571428571422</v>
      </c>
      <c r="AE244" s="562">
        <f t="shared" si="350"/>
        <v>388.42647641696408</v>
      </c>
      <c r="AF244" s="545">
        <f t="shared" si="351"/>
        <v>0.10091999999999998</v>
      </c>
      <c r="AH244" s="178">
        <f t="shared" si="352"/>
        <v>0.37032803990902063</v>
      </c>
      <c r="AI244" s="178">
        <f t="shared" si="353"/>
        <v>0.37032803990902063</v>
      </c>
      <c r="AJ244" s="178">
        <f t="shared" si="354"/>
        <v>1.2595022517844596</v>
      </c>
      <c r="AL244" s="562">
        <f t="shared" si="355"/>
        <v>112.00000000000001</v>
      </c>
      <c r="AM244" s="471">
        <f t="shared" si="356"/>
        <v>350</v>
      </c>
      <c r="AO244">
        <f t="shared" si="357"/>
        <v>112.00000000000001</v>
      </c>
      <c r="AP244">
        <f t="shared" si="358"/>
        <v>350</v>
      </c>
      <c r="AR244" s="5">
        <f t="shared" si="322"/>
        <v>2.8571428571428572</v>
      </c>
      <c r="AS244" s="5">
        <f t="shared" si="361"/>
        <v>1.1783164906196113</v>
      </c>
      <c r="AT244" s="5">
        <f t="shared" si="362"/>
        <v>1.6788263665232459</v>
      </c>
      <c r="AU244" s="178">
        <f t="shared" si="363"/>
        <v>0.41241077171686397</v>
      </c>
      <c r="CD244" s="580">
        <f t="shared" si="359"/>
        <v>-50</v>
      </c>
    </row>
    <row r="245" spans="5:82" x14ac:dyDescent="0.2">
      <c r="E245" s="175">
        <v>29</v>
      </c>
      <c r="F245" s="222">
        <f t="shared" si="360"/>
        <v>0.11599999999999999</v>
      </c>
      <c r="G245" s="222">
        <f t="shared" si="329"/>
        <v>5.7999999999999996E-2</v>
      </c>
      <c r="H245" s="222">
        <f t="shared" si="330"/>
        <v>1.3919999999999999</v>
      </c>
      <c r="I245" s="222">
        <f t="shared" si="331"/>
        <v>0.69599999999999995</v>
      </c>
      <c r="J245" s="558">
        <f t="shared" si="332"/>
        <v>26.4</v>
      </c>
      <c r="K245" s="453">
        <f t="shared" si="333"/>
        <v>24.5</v>
      </c>
      <c r="L245" s="453">
        <f t="shared" si="334"/>
        <v>50.9</v>
      </c>
      <c r="M245" s="453"/>
      <c r="N245" s="222">
        <f t="shared" si="335"/>
        <v>0.48133595284872299</v>
      </c>
      <c r="O245" s="177">
        <f t="shared" si="336"/>
        <v>5.8347544204322208</v>
      </c>
      <c r="P245" s="177">
        <f t="shared" si="337"/>
        <v>4.3760658153241652</v>
      </c>
      <c r="Q245" s="222">
        <f t="shared" si="338"/>
        <v>0.4862295350360184</v>
      </c>
      <c r="R245" s="222">
        <f t="shared" si="339"/>
        <v>0.4862295350360184</v>
      </c>
      <c r="S245" s="222">
        <f t="shared" si="340"/>
        <v>12</v>
      </c>
      <c r="T245" s="222">
        <f t="shared" si="341"/>
        <v>0.34592715555121573</v>
      </c>
      <c r="U245" s="222">
        <f t="shared" si="342"/>
        <v>1.1006773131175045</v>
      </c>
      <c r="V245" s="222">
        <f t="shared" si="343"/>
        <v>1.1860359618898826</v>
      </c>
      <c r="W245" s="202">
        <f t="shared" si="344"/>
        <v>350</v>
      </c>
      <c r="X245" s="453">
        <f t="shared" si="345"/>
        <v>350</v>
      </c>
      <c r="Z245" s="222">
        <f t="shared" si="346"/>
        <v>0.4322200392927309</v>
      </c>
      <c r="AA245" s="178">
        <f t="shared" si="347"/>
        <v>1.4818972775750774</v>
      </c>
      <c r="AB245" s="178">
        <f t="shared" si="348"/>
        <v>0.14945132989296789</v>
      </c>
      <c r="AC245" s="178"/>
      <c r="AD245" s="178">
        <f t="shared" si="349"/>
        <v>0.99428571428571422</v>
      </c>
      <c r="AE245" s="562">
        <f t="shared" si="350"/>
        <v>402.29885057471273</v>
      </c>
      <c r="AF245" s="545">
        <f t="shared" si="351"/>
        <v>0.10091999999999998</v>
      </c>
      <c r="AH245" s="178">
        <f t="shared" si="352"/>
        <v>0.3768830273792263</v>
      </c>
      <c r="AI245" s="178">
        <f t="shared" si="353"/>
        <v>0.3768830273792263</v>
      </c>
      <c r="AJ245" s="178">
        <f t="shared" si="354"/>
        <v>1.2643577980586862</v>
      </c>
      <c r="AL245" s="562">
        <f t="shared" si="355"/>
        <v>115.99999999999999</v>
      </c>
      <c r="AM245" s="471">
        <f t="shared" si="356"/>
        <v>350</v>
      </c>
      <c r="AO245">
        <f t="shared" si="357"/>
        <v>115.99999999999999</v>
      </c>
      <c r="AP245">
        <f t="shared" si="358"/>
        <v>350</v>
      </c>
      <c r="AR245" s="5">
        <f t="shared" si="322"/>
        <v>2.8571428571428572</v>
      </c>
      <c r="AS245" s="5">
        <f t="shared" si="361"/>
        <v>1.1991732689339019</v>
      </c>
      <c r="AT245" s="5">
        <f t="shared" si="362"/>
        <v>1.6579695882089553</v>
      </c>
      <c r="AU245" s="178">
        <f t="shared" si="363"/>
        <v>0.41971064412686565</v>
      </c>
      <c r="CD245" s="580">
        <f t="shared" si="359"/>
        <v>-50</v>
      </c>
    </row>
    <row r="246" spans="5:82" x14ac:dyDescent="0.2">
      <c r="E246" s="175">
        <v>30</v>
      </c>
      <c r="F246" s="222">
        <f t="shared" si="360"/>
        <v>0.12</v>
      </c>
      <c r="G246" s="222">
        <f t="shared" si="329"/>
        <v>0.06</v>
      </c>
      <c r="H246" s="222">
        <f t="shared" si="330"/>
        <v>1.44</v>
      </c>
      <c r="I246" s="222">
        <f t="shared" si="331"/>
        <v>0.72</v>
      </c>
      <c r="J246" s="558">
        <f t="shared" si="332"/>
        <v>26.4</v>
      </c>
      <c r="K246" s="453">
        <f t="shared" si="333"/>
        <v>24.5</v>
      </c>
      <c r="L246" s="453">
        <f t="shared" si="334"/>
        <v>50.9</v>
      </c>
      <c r="M246" s="453"/>
      <c r="N246" s="222">
        <f t="shared" si="335"/>
        <v>0.48133595284872299</v>
      </c>
      <c r="O246" s="177">
        <f t="shared" si="336"/>
        <v>5.8347544204322208</v>
      </c>
      <c r="P246" s="177">
        <f t="shared" si="337"/>
        <v>4.3760658153241652</v>
      </c>
      <c r="Q246" s="222">
        <f t="shared" si="338"/>
        <v>0.4862295350360184</v>
      </c>
      <c r="R246" s="222">
        <f t="shared" si="339"/>
        <v>0.4862295350360184</v>
      </c>
      <c r="S246" s="222">
        <f t="shared" si="340"/>
        <v>12</v>
      </c>
      <c r="T246" s="222">
        <f t="shared" si="341"/>
        <v>0.35785567815643005</v>
      </c>
      <c r="U246" s="222">
        <f t="shared" si="342"/>
        <v>1.1386317032250046</v>
      </c>
      <c r="V246" s="222">
        <f t="shared" si="343"/>
        <v>1.2269337536791887</v>
      </c>
      <c r="W246" s="202">
        <f t="shared" si="344"/>
        <v>350</v>
      </c>
      <c r="X246" s="453">
        <f t="shared" si="345"/>
        <v>350</v>
      </c>
      <c r="Z246" s="222">
        <f t="shared" si="346"/>
        <v>0.4322200392927309</v>
      </c>
      <c r="AA246" s="178">
        <f t="shared" si="347"/>
        <v>1.4818972775750774</v>
      </c>
      <c r="AB246" s="178">
        <f t="shared" si="348"/>
        <v>0.14945132989296789</v>
      </c>
      <c r="AC246" s="178"/>
      <c r="AD246" s="178">
        <f t="shared" si="349"/>
        <v>0.99428571428571422</v>
      </c>
      <c r="AE246" s="562">
        <f t="shared" si="350"/>
        <v>416.17122473246144</v>
      </c>
      <c r="AF246" s="545">
        <f t="shared" si="351"/>
        <v>0.10091999999999998</v>
      </c>
      <c r="AH246" s="178">
        <f t="shared" si="352"/>
        <v>0.38332593899996398</v>
      </c>
      <c r="AI246" s="178">
        <f t="shared" si="353"/>
        <v>0.38332593899996398</v>
      </c>
      <c r="AJ246" s="178">
        <f t="shared" si="354"/>
        <v>1.2691303251851584</v>
      </c>
      <c r="AL246" s="562">
        <f t="shared" si="355"/>
        <v>120</v>
      </c>
      <c r="AM246" s="471">
        <f t="shared" si="356"/>
        <v>350</v>
      </c>
      <c r="AO246">
        <f t="shared" si="357"/>
        <v>120</v>
      </c>
      <c r="AP246">
        <f t="shared" si="358"/>
        <v>350</v>
      </c>
      <c r="AR246" s="5">
        <f t="shared" si="322"/>
        <v>2.8571428571428572</v>
      </c>
      <c r="AS246" s="5">
        <f t="shared" si="361"/>
        <v>1.2196734422726125</v>
      </c>
      <c r="AT246" s="5">
        <f t="shared" si="362"/>
        <v>1.6374694148702447</v>
      </c>
      <c r="AU246" s="178">
        <f t="shared" si="363"/>
        <v>0.42688570479541438</v>
      </c>
      <c r="CD246" s="580">
        <f t="shared" si="359"/>
        <v>-50</v>
      </c>
    </row>
    <row r="247" spans="5:82" x14ac:dyDescent="0.2">
      <c r="E247" s="175">
        <v>31</v>
      </c>
      <c r="F247" s="222">
        <f t="shared" si="360"/>
        <v>0.124</v>
      </c>
      <c r="G247" s="222">
        <f t="shared" si="329"/>
        <v>6.2E-2</v>
      </c>
      <c r="H247" s="222">
        <f t="shared" si="330"/>
        <v>1.488</v>
      </c>
      <c r="I247" s="222">
        <f t="shared" si="331"/>
        <v>0.74399999999999999</v>
      </c>
      <c r="J247" s="558">
        <f t="shared" si="332"/>
        <v>26.4</v>
      </c>
      <c r="K247" s="453">
        <f t="shared" si="333"/>
        <v>24.5</v>
      </c>
      <c r="L247" s="453">
        <f t="shared" si="334"/>
        <v>50.9</v>
      </c>
      <c r="M247" s="453"/>
      <c r="N247" s="222">
        <f t="shared" si="335"/>
        <v>0.48133595284872299</v>
      </c>
      <c r="O247" s="177">
        <f t="shared" si="336"/>
        <v>5.8347544204322208</v>
      </c>
      <c r="P247" s="177">
        <f t="shared" si="337"/>
        <v>4.3760658153241652</v>
      </c>
      <c r="Q247" s="222">
        <f t="shared" si="338"/>
        <v>0.4862295350360184</v>
      </c>
      <c r="R247" s="222">
        <f t="shared" si="339"/>
        <v>0.4862295350360184</v>
      </c>
      <c r="S247" s="222">
        <f t="shared" si="340"/>
        <v>12</v>
      </c>
      <c r="T247" s="222">
        <f t="shared" si="341"/>
        <v>0.36978420076164442</v>
      </c>
      <c r="U247" s="222">
        <f t="shared" si="342"/>
        <v>1.176586093332505</v>
      </c>
      <c r="V247" s="222">
        <f t="shared" si="343"/>
        <v>1.2678315454684952</v>
      </c>
      <c r="W247" s="202">
        <f t="shared" si="344"/>
        <v>350</v>
      </c>
      <c r="X247" s="453">
        <f t="shared" si="345"/>
        <v>350</v>
      </c>
      <c r="Z247" s="222">
        <f t="shared" si="346"/>
        <v>0.4322200392927309</v>
      </c>
      <c r="AA247" s="178">
        <f t="shared" si="347"/>
        <v>1.4818972775750774</v>
      </c>
      <c r="AB247" s="178">
        <f t="shared" si="348"/>
        <v>0.14945132989296789</v>
      </c>
      <c r="AC247" s="178"/>
      <c r="AD247" s="178">
        <f t="shared" si="349"/>
        <v>0.99428571428571422</v>
      </c>
      <c r="AE247" s="562">
        <f t="shared" si="350"/>
        <v>430.04359889021015</v>
      </c>
      <c r="AF247" s="545">
        <f t="shared" si="351"/>
        <v>0.10091999999999998</v>
      </c>
      <c r="AH247" s="178">
        <f t="shared" si="352"/>
        <v>0.38966233419959589</v>
      </c>
      <c r="AI247" s="178">
        <f t="shared" si="353"/>
        <v>0.38966233419959589</v>
      </c>
      <c r="AJ247" s="178">
        <f t="shared" si="354"/>
        <v>1.27382395125896</v>
      </c>
      <c r="AL247" s="562">
        <f t="shared" si="355"/>
        <v>124</v>
      </c>
      <c r="AM247" s="471">
        <f t="shared" si="356"/>
        <v>350</v>
      </c>
      <c r="AO247">
        <f t="shared" si="357"/>
        <v>124</v>
      </c>
      <c r="AP247">
        <f t="shared" si="358"/>
        <v>350</v>
      </c>
      <c r="AR247" s="5">
        <f t="shared" si="322"/>
        <v>2.8571428571428572</v>
      </c>
      <c r="AS247" s="5">
        <f t="shared" si="361"/>
        <v>1.239834699725987</v>
      </c>
      <c r="AT247" s="5">
        <f t="shared" si="362"/>
        <v>1.6173081574168702</v>
      </c>
      <c r="AU247" s="178">
        <f t="shared" si="363"/>
        <v>0.43394214490409544</v>
      </c>
      <c r="CD247" s="580">
        <f t="shared" si="359"/>
        <v>-50</v>
      </c>
    </row>
    <row r="248" spans="5:82" x14ac:dyDescent="0.2">
      <c r="E248" s="175">
        <v>32</v>
      </c>
      <c r="F248" s="222">
        <f t="shared" si="360"/>
        <v>0.128</v>
      </c>
      <c r="G248" s="222">
        <f t="shared" ref="G248:G279" si="364">IF(PLOT_TYPE=1, E248/100*Iout2, min_I*EXP(Q248*rr/100))</f>
        <v>6.4000000000000001E-2</v>
      </c>
      <c r="H248" s="222">
        <f t="shared" ref="H248:H279" si="365">F248*Vout</f>
        <v>1.536</v>
      </c>
      <c r="I248" s="222">
        <f t="shared" ref="I248:I279" si="366">Vout2*G248</f>
        <v>0.76800000000000002</v>
      </c>
      <c r="J248" s="558">
        <f t="shared" si="332"/>
        <v>26.4</v>
      </c>
      <c r="K248" s="453">
        <f t="shared" si="333"/>
        <v>24.5</v>
      </c>
      <c r="L248" s="453">
        <f t="shared" si="334"/>
        <v>50.9</v>
      </c>
      <c r="M248" s="453"/>
      <c r="N248" s="222">
        <f t="shared" si="335"/>
        <v>0.48133595284872299</v>
      </c>
      <c r="O248" s="177">
        <f t="shared" ref="O248:O279" si="367">N248*J248*Isw_max*0.5*Efficiency*Pout/(Pout+Pout2)</f>
        <v>5.8347544204322208</v>
      </c>
      <c r="P248" s="177">
        <f t="shared" ref="P248:P279" si="368">N248*J248*Isw_max*0.5*Efficiency*(Pout2/Pout_total)</f>
        <v>4.3760658153241652</v>
      </c>
      <c r="Q248" s="222">
        <f t="shared" si="338"/>
        <v>0.4862295350360184</v>
      </c>
      <c r="R248" s="222">
        <f t="shared" ref="R248:R279" si="369">O248/Vout2</f>
        <v>0.4862295350360184</v>
      </c>
      <c r="S248" s="222">
        <f t="shared" ref="S248:S279" si="370">MIN(Vout,O248/F248)</f>
        <v>12</v>
      </c>
      <c r="T248" s="222">
        <f t="shared" ref="T248:T279" si="371">MIN(2*(Vout*F248+Vout2*G248)/(Efficiency*J248*N248), Isw_max)</f>
        <v>0.38171272336685874</v>
      </c>
      <c r="U248" s="222">
        <f t="shared" si="342"/>
        <v>1.2145404834400051</v>
      </c>
      <c r="V248" s="222">
        <f t="shared" si="343"/>
        <v>1.3087293372578011</v>
      </c>
      <c r="W248" s="202">
        <f t="shared" si="344"/>
        <v>350</v>
      </c>
      <c r="X248" s="453">
        <f t="shared" si="345"/>
        <v>350</v>
      </c>
      <c r="Z248" s="222">
        <f t="shared" si="346"/>
        <v>0.4322200392927309</v>
      </c>
      <c r="AA248" s="178">
        <f t="shared" si="347"/>
        <v>1.4818972775750774</v>
      </c>
      <c r="AB248" s="178">
        <f t="shared" ref="AB248:AB279" si="372">0.5*AA248*Z248*Nps*W248/1000*(Pout/(Pout+Pout2))</f>
        <v>0.14945132989296789</v>
      </c>
      <c r="AC248" s="178"/>
      <c r="AD248" s="178">
        <f t="shared" si="349"/>
        <v>0.99428571428571422</v>
      </c>
      <c r="AE248" s="562">
        <f t="shared" ref="AE248:AE279" si="373">MAX(10, F248/(0.5*AD248/1000000*Isw_min*Nps)/1000*Pout_total/Pout)</f>
        <v>443.91597304795891</v>
      </c>
      <c r="AF248" s="545">
        <f t="shared" ref="AF248:AF279" si="374">0.5*AD248/1000000*Isw_min*Nps*W248*1000*(Pout/Pout_total)</f>
        <v>0.10091999999999998</v>
      </c>
      <c r="AH248" s="178">
        <f t="shared" ref="AH248:AH279" si="375">SQRT((H248+I248)/(0.5*L*Fsw_DCM))</f>
        <v>0.39589732744431483</v>
      </c>
      <c r="AI248" s="178">
        <f t="shared" ref="AI248:AI279" si="376">MAX(IF(F248&gt;AB248,T248,AH248),Isw_min)</f>
        <v>0.39589732744431483</v>
      </c>
      <c r="AJ248" s="178">
        <f t="shared" ref="AJ248:AJ279" si="377">IF(F248&gt;AF248, (AI248-Isw_min)/1.08*0.8+1.2, AE248*0.2/350+1)</f>
        <v>1.2784424647735666</v>
      </c>
      <c r="AL248" s="562">
        <f t="shared" ref="AL248:AL279" si="378">F248*1000</f>
        <v>128</v>
      </c>
      <c r="AM248" s="471">
        <f t="shared" ref="AM248:AM279" si="379">IF(F248&gt;AF248, X248, AE248)</f>
        <v>350</v>
      </c>
      <c r="AO248">
        <f t="shared" si="357"/>
        <v>128</v>
      </c>
      <c r="AP248">
        <f t="shared" si="358"/>
        <v>350</v>
      </c>
      <c r="AR248" s="5">
        <f t="shared" si="322"/>
        <v>2.8571428571428572</v>
      </c>
      <c r="AS248" s="5">
        <f t="shared" si="361"/>
        <v>1.2596733145955474</v>
      </c>
      <c r="AT248" s="5">
        <f t="shared" si="362"/>
        <v>1.5974695425473098</v>
      </c>
      <c r="AU248" s="178">
        <f t="shared" si="363"/>
        <v>0.4408856601084416</v>
      </c>
      <c r="CD248" s="580">
        <f t="shared" ref="CD248:CD279" si="380">IF(ABS(F248-Ioutmax_Vinmax)&lt;Iout/200, AM248, -50)</f>
        <v>-50</v>
      </c>
    </row>
    <row r="249" spans="5:82" x14ac:dyDescent="0.2">
      <c r="E249" s="175">
        <v>33</v>
      </c>
      <c r="F249" s="222">
        <f t="shared" ref="F249:F280" si="381">IF(PLOT_TYPE=1, E249/100*Iout_max, min_I*EXP(O249*rr/100))</f>
        <v>0.13200000000000001</v>
      </c>
      <c r="G249" s="222">
        <f t="shared" si="364"/>
        <v>6.6000000000000003E-2</v>
      </c>
      <c r="H249" s="222">
        <f t="shared" si="365"/>
        <v>1.5840000000000001</v>
      </c>
      <c r="I249" s="222">
        <f t="shared" si="366"/>
        <v>0.79200000000000004</v>
      </c>
      <c r="J249" s="558">
        <f t="shared" si="332"/>
        <v>26.4</v>
      </c>
      <c r="K249" s="453">
        <f t="shared" si="333"/>
        <v>24.5</v>
      </c>
      <c r="L249" s="453">
        <f t="shared" si="334"/>
        <v>50.9</v>
      </c>
      <c r="M249" s="453"/>
      <c r="N249" s="222">
        <f t="shared" si="335"/>
        <v>0.48133595284872299</v>
      </c>
      <c r="O249" s="177">
        <f t="shared" si="367"/>
        <v>5.8347544204322208</v>
      </c>
      <c r="P249" s="177">
        <f t="shared" si="368"/>
        <v>4.3760658153241652</v>
      </c>
      <c r="Q249" s="222">
        <f t="shared" si="338"/>
        <v>0.4862295350360184</v>
      </c>
      <c r="R249" s="222">
        <f t="shared" si="369"/>
        <v>0.4862295350360184</v>
      </c>
      <c r="S249" s="222">
        <f t="shared" si="370"/>
        <v>12</v>
      </c>
      <c r="T249" s="222">
        <f t="shared" si="371"/>
        <v>0.39364124597207312</v>
      </c>
      <c r="U249" s="222">
        <f t="shared" si="342"/>
        <v>1.2524948735475054</v>
      </c>
      <c r="V249" s="222">
        <f t="shared" si="343"/>
        <v>1.3496271290471078</v>
      </c>
      <c r="W249" s="202">
        <f t="shared" si="344"/>
        <v>350</v>
      </c>
      <c r="X249" s="453">
        <f t="shared" si="345"/>
        <v>350</v>
      </c>
      <c r="Z249" s="222">
        <f t="shared" si="346"/>
        <v>0.4322200392927309</v>
      </c>
      <c r="AA249" s="178">
        <f t="shared" si="347"/>
        <v>1.4818972775750774</v>
      </c>
      <c r="AB249" s="178">
        <f t="shared" si="372"/>
        <v>0.14945132989296789</v>
      </c>
      <c r="AC249" s="178"/>
      <c r="AD249" s="178">
        <f t="shared" si="349"/>
        <v>0.99428571428571422</v>
      </c>
      <c r="AE249" s="562">
        <f t="shared" si="373"/>
        <v>457.78834720570757</v>
      </c>
      <c r="AF249" s="545">
        <f t="shared" si="374"/>
        <v>0.10091999999999998</v>
      </c>
      <c r="AH249" s="178">
        <f t="shared" si="375"/>
        <v>0.40203563655629398</v>
      </c>
      <c r="AI249" s="178">
        <f t="shared" si="376"/>
        <v>0.40203563655629398</v>
      </c>
      <c r="AJ249" s="178">
        <f t="shared" si="377"/>
        <v>1.2829893604120697</v>
      </c>
      <c r="AL249" s="562">
        <f t="shared" si="378"/>
        <v>132</v>
      </c>
      <c r="AM249" s="471">
        <f t="shared" si="379"/>
        <v>350</v>
      </c>
      <c r="AO249">
        <f t="shared" si="357"/>
        <v>132</v>
      </c>
      <c r="AP249">
        <f t="shared" si="358"/>
        <v>350</v>
      </c>
      <c r="AR249" s="5">
        <f t="shared" si="322"/>
        <v>2.8571428571428572</v>
      </c>
      <c r="AS249" s="5">
        <f t="shared" si="361"/>
        <v>1.2792042981336627</v>
      </c>
      <c r="AT249" s="5">
        <f t="shared" si="362"/>
        <v>1.5779385590091946</v>
      </c>
      <c r="AU249" s="178">
        <f t="shared" si="363"/>
        <v>0.44772150434678193</v>
      </c>
      <c r="CD249" s="580">
        <f t="shared" si="380"/>
        <v>-50</v>
      </c>
    </row>
    <row r="250" spans="5:82" x14ac:dyDescent="0.2">
      <c r="E250" s="175">
        <v>34</v>
      </c>
      <c r="F250" s="222">
        <f t="shared" si="381"/>
        <v>0.13600000000000001</v>
      </c>
      <c r="G250" s="222">
        <f t="shared" si="364"/>
        <v>6.8000000000000005E-2</v>
      </c>
      <c r="H250" s="222">
        <f t="shared" si="365"/>
        <v>1.6320000000000001</v>
      </c>
      <c r="I250" s="222">
        <f t="shared" si="366"/>
        <v>0.81600000000000006</v>
      </c>
      <c r="J250" s="558">
        <f t="shared" si="332"/>
        <v>26.4</v>
      </c>
      <c r="K250" s="453">
        <f t="shared" si="333"/>
        <v>24.5</v>
      </c>
      <c r="L250" s="453">
        <f t="shared" si="334"/>
        <v>50.9</v>
      </c>
      <c r="M250" s="453"/>
      <c r="N250" s="222">
        <f t="shared" si="335"/>
        <v>0.48133595284872299</v>
      </c>
      <c r="O250" s="177">
        <f t="shared" si="367"/>
        <v>5.8347544204322208</v>
      </c>
      <c r="P250" s="177">
        <f t="shared" si="368"/>
        <v>4.3760658153241652</v>
      </c>
      <c r="Q250" s="222">
        <f t="shared" si="338"/>
        <v>0.4862295350360184</v>
      </c>
      <c r="R250" s="222">
        <f t="shared" si="369"/>
        <v>0.4862295350360184</v>
      </c>
      <c r="S250" s="222">
        <f t="shared" si="370"/>
        <v>12</v>
      </c>
      <c r="T250" s="222">
        <f t="shared" si="371"/>
        <v>0.40556976857728744</v>
      </c>
      <c r="U250" s="222">
        <f t="shared" si="342"/>
        <v>1.2904492636550053</v>
      </c>
      <c r="V250" s="222">
        <f t="shared" si="343"/>
        <v>1.3905249208364139</v>
      </c>
      <c r="W250" s="202">
        <f t="shared" si="344"/>
        <v>350</v>
      </c>
      <c r="X250" s="453">
        <f t="shared" si="345"/>
        <v>350</v>
      </c>
      <c r="Z250" s="222">
        <f t="shared" si="346"/>
        <v>0.4322200392927309</v>
      </c>
      <c r="AA250" s="178">
        <f t="shared" si="347"/>
        <v>1.4818972775750774</v>
      </c>
      <c r="AB250" s="178">
        <f t="shared" si="372"/>
        <v>0.14945132989296789</v>
      </c>
      <c r="AC250" s="178"/>
      <c r="AD250" s="178">
        <f t="shared" si="349"/>
        <v>0.99428571428571422</v>
      </c>
      <c r="AE250" s="562">
        <f t="shared" si="373"/>
        <v>471.66072136345633</v>
      </c>
      <c r="AF250" s="545">
        <f t="shared" si="374"/>
        <v>0.10091999999999998</v>
      </c>
      <c r="AH250" s="178">
        <f t="shared" si="375"/>
        <v>0.40808162448816288</v>
      </c>
      <c r="AI250" s="178">
        <f t="shared" si="376"/>
        <v>0.40808162448816288</v>
      </c>
      <c r="AJ250" s="178">
        <f t="shared" si="377"/>
        <v>1.2874678699912316</v>
      </c>
      <c r="AL250" s="562">
        <f t="shared" si="378"/>
        <v>136</v>
      </c>
      <c r="AM250" s="471">
        <f t="shared" si="379"/>
        <v>350</v>
      </c>
      <c r="AO250">
        <f t="shared" si="357"/>
        <v>136</v>
      </c>
      <c r="AP250">
        <f t="shared" si="358"/>
        <v>350</v>
      </c>
      <c r="AR250" s="5">
        <f t="shared" si="322"/>
        <v>2.8571428571428572</v>
      </c>
      <c r="AS250" s="5">
        <f t="shared" si="361"/>
        <v>1.2984415324623362</v>
      </c>
      <c r="AT250" s="5">
        <f t="shared" si="362"/>
        <v>1.558701324680521</v>
      </c>
      <c r="AU250" s="178">
        <f t="shared" si="363"/>
        <v>0.45445453636181765</v>
      </c>
      <c r="CD250" s="580">
        <f t="shared" si="380"/>
        <v>-50</v>
      </c>
    </row>
    <row r="251" spans="5:82" x14ac:dyDescent="0.2">
      <c r="E251" s="175">
        <v>35</v>
      </c>
      <c r="F251" s="222">
        <f t="shared" si="381"/>
        <v>0.13999999999999999</v>
      </c>
      <c r="G251" s="222">
        <f t="shared" si="364"/>
        <v>6.9999999999999993E-2</v>
      </c>
      <c r="H251" s="222">
        <f t="shared" si="365"/>
        <v>1.6799999999999997</v>
      </c>
      <c r="I251" s="222">
        <f t="shared" si="366"/>
        <v>0.83999999999999986</v>
      </c>
      <c r="J251" s="558">
        <f t="shared" si="332"/>
        <v>26.4</v>
      </c>
      <c r="K251" s="453">
        <f t="shared" si="333"/>
        <v>24.5</v>
      </c>
      <c r="L251" s="453">
        <f t="shared" si="334"/>
        <v>50.9</v>
      </c>
      <c r="M251" s="453"/>
      <c r="N251" s="222">
        <f t="shared" si="335"/>
        <v>0.48133595284872299</v>
      </c>
      <c r="O251" s="177">
        <f t="shared" si="367"/>
        <v>5.8347544204322208</v>
      </c>
      <c r="P251" s="177">
        <f t="shared" si="368"/>
        <v>4.3760658153241652</v>
      </c>
      <c r="Q251" s="222">
        <f t="shared" si="338"/>
        <v>0.4862295350360184</v>
      </c>
      <c r="R251" s="222">
        <f t="shared" si="369"/>
        <v>0.4862295350360184</v>
      </c>
      <c r="S251" s="222">
        <f t="shared" si="370"/>
        <v>12</v>
      </c>
      <c r="T251" s="222">
        <f t="shared" si="371"/>
        <v>0.41749829118250165</v>
      </c>
      <c r="U251" s="222">
        <f t="shared" si="342"/>
        <v>1.3284036537625052</v>
      </c>
      <c r="V251" s="222">
        <f t="shared" si="343"/>
        <v>1.43142271262572</v>
      </c>
      <c r="W251" s="202">
        <f t="shared" si="344"/>
        <v>350</v>
      </c>
      <c r="X251" s="453">
        <f t="shared" si="345"/>
        <v>350</v>
      </c>
      <c r="Z251" s="222">
        <f t="shared" si="346"/>
        <v>0.4322200392927309</v>
      </c>
      <c r="AA251" s="178">
        <f t="shared" si="347"/>
        <v>1.4818972775750774</v>
      </c>
      <c r="AB251" s="178">
        <f t="shared" si="372"/>
        <v>0.14945132989296789</v>
      </c>
      <c r="AC251" s="178"/>
      <c r="AD251" s="178">
        <f t="shared" si="349"/>
        <v>0.99428571428571422</v>
      </c>
      <c r="AE251" s="562">
        <f t="shared" si="373"/>
        <v>485.53309552120504</v>
      </c>
      <c r="AF251" s="545">
        <f t="shared" si="374"/>
        <v>0.10091999999999998</v>
      </c>
      <c r="AH251" s="178">
        <f t="shared" si="375"/>
        <v>0.41403933560541251</v>
      </c>
      <c r="AI251" s="178">
        <f t="shared" si="376"/>
        <v>0.41403933560541251</v>
      </c>
      <c r="AJ251" s="178">
        <f t="shared" si="377"/>
        <v>1.2918809893373426</v>
      </c>
      <c r="AL251" s="562">
        <f t="shared" si="378"/>
        <v>139.99999999999997</v>
      </c>
      <c r="AM251" s="471">
        <f t="shared" si="379"/>
        <v>350</v>
      </c>
      <c r="AO251">
        <f t="shared" si="357"/>
        <v>139.99999999999997</v>
      </c>
      <c r="AP251">
        <f t="shared" si="358"/>
        <v>350</v>
      </c>
      <c r="AR251" s="5">
        <f t="shared" si="322"/>
        <v>2.8571428571428572</v>
      </c>
      <c r="AS251" s="5">
        <f t="shared" si="361"/>
        <v>1.3173978860172215</v>
      </c>
      <c r="AT251" s="5">
        <f t="shared" si="362"/>
        <v>1.5397449711256357</v>
      </c>
      <c r="AU251" s="178">
        <f t="shared" si="363"/>
        <v>0.46108926010602752</v>
      </c>
      <c r="CD251" s="580">
        <f t="shared" si="380"/>
        <v>-50</v>
      </c>
    </row>
    <row r="252" spans="5:82" x14ac:dyDescent="0.2">
      <c r="E252" s="175">
        <v>36</v>
      </c>
      <c r="F252" s="222">
        <f t="shared" si="381"/>
        <v>0.14399999999999999</v>
      </c>
      <c r="G252" s="222">
        <f t="shared" si="364"/>
        <v>7.1999999999999995E-2</v>
      </c>
      <c r="H252" s="222">
        <f t="shared" si="365"/>
        <v>1.7279999999999998</v>
      </c>
      <c r="I252" s="222">
        <f t="shared" si="366"/>
        <v>0.86399999999999988</v>
      </c>
      <c r="J252" s="558">
        <f t="shared" si="332"/>
        <v>26.4</v>
      </c>
      <c r="K252" s="453">
        <f t="shared" si="333"/>
        <v>24.5</v>
      </c>
      <c r="L252" s="453">
        <f t="shared" si="334"/>
        <v>50.9</v>
      </c>
      <c r="M252" s="453"/>
      <c r="N252" s="222">
        <f t="shared" si="335"/>
        <v>0.48133595284872299</v>
      </c>
      <c r="O252" s="177">
        <f t="shared" si="367"/>
        <v>5.8347544204322208</v>
      </c>
      <c r="P252" s="177">
        <f t="shared" si="368"/>
        <v>4.3760658153241652</v>
      </c>
      <c r="Q252" s="222">
        <f t="shared" si="338"/>
        <v>0.4862295350360184</v>
      </c>
      <c r="R252" s="222">
        <f t="shared" si="369"/>
        <v>0.4862295350360184</v>
      </c>
      <c r="S252" s="222">
        <f t="shared" si="370"/>
        <v>12</v>
      </c>
      <c r="T252" s="222">
        <f t="shared" si="371"/>
        <v>0.42942681378771597</v>
      </c>
      <c r="U252" s="222">
        <f t="shared" si="342"/>
        <v>1.3663580438700051</v>
      </c>
      <c r="V252" s="222">
        <f t="shared" si="343"/>
        <v>1.472320504415026</v>
      </c>
      <c r="W252" s="202">
        <f t="shared" si="344"/>
        <v>350</v>
      </c>
      <c r="X252" s="453">
        <f t="shared" si="345"/>
        <v>350</v>
      </c>
      <c r="Z252" s="222">
        <f t="shared" si="346"/>
        <v>0.4322200392927309</v>
      </c>
      <c r="AA252" s="178">
        <f t="shared" si="347"/>
        <v>1.4818972775750774</v>
      </c>
      <c r="AB252" s="178">
        <f t="shared" si="372"/>
        <v>0.14945132989296789</v>
      </c>
      <c r="AC252" s="178"/>
      <c r="AD252" s="178">
        <f t="shared" si="349"/>
        <v>0.99428571428571422</v>
      </c>
      <c r="AE252" s="562">
        <f t="shared" si="373"/>
        <v>499.40546967895369</v>
      </c>
      <c r="AF252" s="545">
        <f t="shared" si="374"/>
        <v>0.10091999999999998</v>
      </c>
      <c r="AH252" s="178">
        <f t="shared" si="375"/>
        <v>0.4199125273342591</v>
      </c>
      <c r="AI252" s="178">
        <f t="shared" si="376"/>
        <v>0.4199125273342591</v>
      </c>
      <c r="AJ252" s="178">
        <f t="shared" si="377"/>
        <v>1.2962315017290809</v>
      </c>
      <c r="AL252" s="562">
        <f t="shared" si="378"/>
        <v>144</v>
      </c>
      <c r="AM252" s="471">
        <f t="shared" si="379"/>
        <v>350</v>
      </c>
      <c r="AO252">
        <f t="shared" si="357"/>
        <v>144</v>
      </c>
      <c r="AP252">
        <f t="shared" si="358"/>
        <v>350</v>
      </c>
      <c r="AR252" s="5">
        <f t="shared" si="322"/>
        <v>2.8571428571428572</v>
      </c>
      <c r="AS252" s="5">
        <f t="shared" si="361"/>
        <v>1.3360853142453699</v>
      </c>
      <c r="AT252" s="5">
        <f t="shared" si="362"/>
        <v>1.5210575428974873</v>
      </c>
      <c r="AU252" s="178">
        <f t="shared" si="363"/>
        <v>0.46762985998587947</v>
      </c>
      <c r="CD252" s="580">
        <f t="shared" si="380"/>
        <v>-50</v>
      </c>
    </row>
    <row r="253" spans="5:82" x14ac:dyDescent="0.2">
      <c r="E253" s="175">
        <v>37</v>
      </c>
      <c r="F253" s="222">
        <f t="shared" si="381"/>
        <v>0.14799999999999999</v>
      </c>
      <c r="G253" s="222">
        <f t="shared" si="364"/>
        <v>7.3999999999999996E-2</v>
      </c>
      <c r="H253" s="222">
        <f t="shared" si="365"/>
        <v>1.7759999999999998</v>
      </c>
      <c r="I253" s="222">
        <f t="shared" si="366"/>
        <v>0.8879999999999999</v>
      </c>
      <c r="J253" s="558">
        <f t="shared" si="332"/>
        <v>26.4</v>
      </c>
      <c r="K253" s="453">
        <f t="shared" si="333"/>
        <v>24.5</v>
      </c>
      <c r="L253" s="453">
        <f t="shared" si="334"/>
        <v>50.9</v>
      </c>
      <c r="M253" s="453"/>
      <c r="N253" s="222">
        <f t="shared" si="335"/>
        <v>0.48133595284872299</v>
      </c>
      <c r="O253" s="177">
        <f t="shared" si="367"/>
        <v>5.8347544204322208</v>
      </c>
      <c r="P253" s="177">
        <f t="shared" si="368"/>
        <v>4.3760658153241652</v>
      </c>
      <c r="Q253" s="222">
        <f t="shared" si="338"/>
        <v>0.4862295350360184</v>
      </c>
      <c r="R253" s="222">
        <f t="shared" si="369"/>
        <v>0.4862295350360184</v>
      </c>
      <c r="S253" s="222">
        <f t="shared" si="370"/>
        <v>12</v>
      </c>
      <c r="T253" s="222">
        <f t="shared" si="371"/>
        <v>0.44135533639293034</v>
      </c>
      <c r="U253" s="222">
        <f t="shared" si="342"/>
        <v>1.4043124339775057</v>
      </c>
      <c r="V253" s="222">
        <f t="shared" si="343"/>
        <v>1.5132182962043326</v>
      </c>
      <c r="W253" s="202">
        <f t="shared" si="344"/>
        <v>350</v>
      </c>
      <c r="X253" s="453">
        <f t="shared" si="345"/>
        <v>342.7556013909317</v>
      </c>
      <c r="Z253" s="222">
        <f t="shared" si="346"/>
        <v>0.4322200392927309</v>
      </c>
      <c r="AA253" s="178">
        <f t="shared" si="347"/>
        <v>1.4818972775750774</v>
      </c>
      <c r="AB253" s="178">
        <f t="shared" si="372"/>
        <v>0.14945132989296789</v>
      </c>
      <c r="AC253" s="178"/>
      <c r="AD253" s="178">
        <f t="shared" si="349"/>
        <v>0.99428571428571422</v>
      </c>
      <c r="AE253" s="562">
        <f t="shared" si="373"/>
        <v>513.27784383670246</v>
      </c>
      <c r="AF253" s="545">
        <f t="shared" si="374"/>
        <v>0.10091999999999998</v>
      </c>
      <c r="AH253" s="178">
        <f t="shared" si="375"/>
        <v>0.42570469787860971</v>
      </c>
      <c r="AI253" s="178">
        <f t="shared" si="376"/>
        <v>0.42570469787860971</v>
      </c>
      <c r="AJ253" s="178">
        <f t="shared" si="377"/>
        <v>1.3005219984285998</v>
      </c>
      <c r="AL253" s="562">
        <f t="shared" si="378"/>
        <v>148</v>
      </c>
      <c r="AM253" s="471">
        <f t="shared" si="379"/>
        <v>342.7556013909317</v>
      </c>
      <c r="AO253">
        <f t="shared" si="357"/>
        <v>148</v>
      </c>
      <c r="AP253">
        <f t="shared" si="358"/>
        <v>342.7556013909317</v>
      </c>
      <c r="AR253" s="5">
        <f t="shared" si="322"/>
        <v>2.9175307301818378</v>
      </c>
      <c r="AS253" s="5">
        <f t="shared" si="361"/>
        <v>1.3545149477955765</v>
      </c>
      <c r="AT253" s="5">
        <f t="shared" si="362"/>
        <v>1.5630157823862614</v>
      </c>
      <c r="AU253" s="178">
        <f t="shared" si="363"/>
        <v>0.46426758552467928</v>
      </c>
      <c r="CD253" s="580">
        <f t="shared" si="380"/>
        <v>-50</v>
      </c>
    </row>
    <row r="254" spans="5:82" x14ac:dyDescent="0.2">
      <c r="E254" s="175">
        <v>38</v>
      </c>
      <c r="F254" s="222">
        <f t="shared" si="381"/>
        <v>0.15200000000000002</v>
      </c>
      <c r="G254" s="222">
        <f t="shared" si="364"/>
        <v>7.6000000000000012E-2</v>
      </c>
      <c r="H254" s="222">
        <f t="shared" si="365"/>
        <v>1.8240000000000003</v>
      </c>
      <c r="I254" s="222">
        <f t="shared" si="366"/>
        <v>0.91200000000000014</v>
      </c>
      <c r="J254" s="558">
        <f t="shared" si="332"/>
        <v>26.4</v>
      </c>
      <c r="K254" s="453">
        <f t="shared" si="333"/>
        <v>24.5</v>
      </c>
      <c r="L254" s="453">
        <f t="shared" si="334"/>
        <v>50.9</v>
      </c>
      <c r="M254" s="453"/>
      <c r="N254" s="222">
        <f t="shared" si="335"/>
        <v>0.48133595284872299</v>
      </c>
      <c r="O254" s="177">
        <f t="shared" si="367"/>
        <v>5.8347544204322208</v>
      </c>
      <c r="P254" s="177">
        <f t="shared" si="368"/>
        <v>4.3760658153241652</v>
      </c>
      <c r="Q254" s="222">
        <f t="shared" si="338"/>
        <v>0.4862295350360184</v>
      </c>
      <c r="R254" s="222">
        <f t="shared" si="369"/>
        <v>0.4862295350360184</v>
      </c>
      <c r="S254" s="222">
        <f t="shared" si="370"/>
        <v>12</v>
      </c>
      <c r="T254" s="222">
        <f t="shared" si="371"/>
        <v>0.45328385899814483</v>
      </c>
      <c r="U254" s="222">
        <f t="shared" si="342"/>
        <v>1.4422668240850063</v>
      </c>
      <c r="V254" s="222">
        <f t="shared" si="343"/>
        <v>1.5541160879936391</v>
      </c>
      <c r="W254" s="202">
        <f t="shared" si="344"/>
        <v>350</v>
      </c>
      <c r="X254" s="453">
        <f t="shared" si="345"/>
        <v>333.73571714380182</v>
      </c>
      <c r="Z254" s="222">
        <f t="shared" si="346"/>
        <v>0.4322200392927309</v>
      </c>
      <c r="AA254" s="178">
        <f t="shared" si="347"/>
        <v>1.4818972775750774</v>
      </c>
      <c r="AB254" s="178">
        <f t="shared" si="372"/>
        <v>0.14945132989296789</v>
      </c>
      <c r="AC254" s="178"/>
      <c r="AD254" s="178">
        <f t="shared" si="349"/>
        <v>0.99428571428571422</v>
      </c>
      <c r="AE254" s="562">
        <f t="shared" si="373"/>
        <v>527.15021799445128</v>
      </c>
      <c r="AF254" s="545">
        <f t="shared" si="374"/>
        <v>0.10091999999999998</v>
      </c>
      <c r="AH254" s="178">
        <f t="shared" si="375"/>
        <v>0.43141911058690008</v>
      </c>
      <c r="AI254" s="178">
        <f t="shared" si="376"/>
        <v>0.45328385899814483</v>
      </c>
      <c r="AJ254" s="178">
        <f t="shared" si="377"/>
        <v>1.3209510066652925</v>
      </c>
      <c r="AL254" s="562">
        <f t="shared" si="378"/>
        <v>152.00000000000003</v>
      </c>
      <c r="AM254" s="471">
        <f t="shared" si="379"/>
        <v>333.73571714380182</v>
      </c>
      <c r="AO254">
        <f t="shared" si="357"/>
        <v>152.00000000000003</v>
      </c>
      <c r="AP254">
        <f t="shared" si="358"/>
        <v>333.73571714380182</v>
      </c>
      <c r="AR254" s="5">
        <f t="shared" si="322"/>
        <v>2.9963829120786452</v>
      </c>
      <c r="AS254" s="5">
        <f t="shared" si="361"/>
        <v>1.4422668240850063</v>
      </c>
      <c r="AT254" s="5">
        <f t="shared" si="362"/>
        <v>1.5541160879936389</v>
      </c>
      <c r="AU254" s="178">
        <f t="shared" si="363"/>
        <v>0.48133595284872305</v>
      </c>
      <c r="CD254" s="580">
        <f t="shared" si="380"/>
        <v>-50</v>
      </c>
    </row>
    <row r="255" spans="5:82" x14ac:dyDescent="0.2">
      <c r="E255" s="175">
        <v>39</v>
      </c>
      <c r="F255" s="222">
        <f t="shared" si="381"/>
        <v>0.15600000000000003</v>
      </c>
      <c r="G255" s="222">
        <f t="shared" si="364"/>
        <v>7.8000000000000014E-2</v>
      </c>
      <c r="H255" s="222">
        <f t="shared" si="365"/>
        <v>1.8720000000000003</v>
      </c>
      <c r="I255" s="222">
        <f t="shared" si="366"/>
        <v>0.93600000000000017</v>
      </c>
      <c r="J255" s="558">
        <f t="shared" si="332"/>
        <v>26.4</v>
      </c>
      <c r="K255" s="453">
        <f t="shared" si="333"/>
        <v>24.5</v>
      </c>
      <c r="L255" s="453">
        <f t="shared" si="334"/>
        <v>50.9</v>
      </c>
      <c r="M255" s="453"/>
      <c r="N255" s="222">
        <f t="shared" si="335"/>
        <v>0.48133595284872299</v>
      </c>
      <c r="O255" s="177">
        <f t="shared" si="367"/>
        <v>5.8347544204322208</v>
      </c>
      <c r="P255" s="177">
        <f t="shared" si="368"/>
        <v>4.3760658153241652</v>
      </c>
      <c r="Q255" s="222">
        <f t="shared" si="338"/>
        <v>0.4862295350360184</v>
      </c>
      <c r="R255" s="222">
        <f t="shared" si="369"/>
        <v>0.4862295350360184</v>
      </c>
      <c r="S255" s="222">
        <f t="shared" si="370"/>
        <v>12</v>
      </c>
      <c r="T255" s="222">
        <f t="shared" si="371"/>
        <v>0.4652123816033592</v>
      </c>
      <c r="U255" s="222">
        <f t="shared" si="342"/>
        <v>1.4802212141925066</v>
      </c>
      <c r="V255" s="222">
        <f t="shared" si="343"/>
        <v>1.5950138797829458</v>
      </c>
      <c r="W255" s="202">
        <f t="shared" si="344"/>
        <v>350</v>
      </c>
      <c r="X255" s="453">
        <f t="shared" si="345"/>
        <v>325.17839106319144</v>
      </c>
      <c r="Z255" s="222">
        <f t="shared" si="346"/>
        <v>0.4322200392927309</v>
      </c>
      <c r="AA255" s="178">
        <f t="shared" si="347"/>
        <v>1.4818972775750774</v>
      </c>
      <c r="AB255" s="178">
        <f t="shared" si="372"/>
        <v>0.14945132989296789</v>
      </c>
      <c r="AC255" s="178"/>
      <c r="AD255" s="178">
        <f t="shared" si="349"/>
        <v>0.99428571428571422</v>
      </c>
      <c r="AE255" s="562">
        <f t="shared" si="373"/>
        <v>541.02259215219999</v>
      </c>
      <c r="AF255" s="545">
        <f t="shared" si="374"/>
        <v>0.10091999999999998</v>
      </c>
      <c r="AH255" s="178">
        <f t="shared" si="375"/>
        <v>0.43705881545081021</v>
      </c>
      <c r="AI255" s="178">
        <f t="shared" si="376"/>
        <v>0.4652123816033592</v>
      </c>
      <c r="AJ255" s="178">
        <f t="shared" si="377"/>
        <v>1.3297869493358216</v>
      </c>
      <c r="AL255" s="562">
        <f t="shared" si="378"/>
        <v>156.00000000000003</v>
      </c>
      <c r="AM255" s="471">
        <f t="shared" si="379"/>
        <v>325.17839106319144</v>
      </c>
      <c r="AO255">
        <f t="shared" si="357"/>
        <v>156.00000000000003</v>
      </c>
      <c r="AP255">
        <f t="shared" si="358"/>
        <v>325.17839106319144</v>
      </c>
      <c r="AR255" s="5">
        <f t="shared" si="322"/>
        <v>3.0752350939754525</v>
      </c>
      <c r="AS255" s="5">
        <f t="shared" si="361"/>
        <v>1.4802212141925066</v>
      </c>
      <c r="AT255" s="5">
        <f t="shared" si="362"/>
        <v>1.5950138797829458</v>
      </c>
      <c r="AU255" s="178">
        <f t="shared" si="363"/>
        <v>0.48133595284872299</v>
      </c>
      <c r="CD255" s="580">
        <f t="shared" si="380"/>
        <v>-50</v>
      </c>
    </row>
    <row r="256" spans="5:82" x14ac:dyDescent="0.2">
      <c r="E256" s="175">
        <v>40</v>
      </c>
      <c r="F256" s="222">
        <f t="shared" si="381"/>
        <v>0.16000000000000003</v>
      </c>
      <c r="G256" s="222">
        <f t="shared" si="364"/>
        <v>8.0000000000000016E-2</v>
      </c>
      <c r="H256" s="222">
        <f t="shared" si="365"/>
        <v>1.9200000000000004</v>
      </c>
      <c r="I256" s="222">
        <f t="shared" si="366"/>
        <v>0.96000000000000019</v>
      </c>
      <c r="J256" s="558">
        <f t="shared" si="332"/>
        <v>26.4</v>
      </c>
      <c r="K256" s="453">
        <f t="shared" si="333"/>
        <v>24.5</v>
      </c>
      <c r="L256" s="453">
        <f t="shared" si="334"/>
        <v>50.9</v>
      </c>
      <c r="M256" s="453"/>
      <c r="N256" s="222">
        <f t="shared" si="335"/>
        <v>0.48133595284872299</v>
      </c>
      <c r="O256" s="177">
        <f t="shared" si="367"/>
        <v>5.8347544204322208</v>
      </c>
      <c r="P256" s="177">
        <f t="shared" si="368"/>
        <v>4.3760658153241652</v>
      </c>
      <c r="Q256" s="222">
        <f t="shared" si="338"/>
        <v>0.4862295350360184</v>
      </c>
      <c r="R256" s="222">
        <f t="shared" si="369"/>
        <v>0.4862295350360184</v>
      </c>
      <c r="S256" s="222">
        <f t="shared" si="370"/>
        <v>12</v>
      </c>
      <c r="T256" s="222">
        <f t="shared" si="371"/>
        <v>0.47714090420857352</v>
      </c>
      <c r="U256" s="222">
        <f t="shared" si="342"/>
        <v>1.5181756043000065</v>
      </c>
      <c r="V256" s="222">
        <f t="shared" si="343"/>
        <v>1.6359116715722519</v>
      </c>
      <c r="W256" s="202">
        <f t="shared" si="344"/>
        <v>350</v>
      </c>
      <c r="X256" s="453">
        <f t="shared" si="345"/>
        <v>317.04893128661172</v>
      </c>
      <c r="Z256" s="222">
        <f t="shared" si="346"/>
        <v>0.4322200392927309</v>
      </c>
      <c r="AA256" s="178">
        <f t="shared" si="347"/>
        <v>1.4818972775750774</v>
      </c>
      <c r="AB256" s="178">
        <f t="shared" si="372"/>
        <v>0.14945132989296789</v>
      </c>
      <c r="AC256" s="178"/>
      <c r="AD256" s="178">
        <f t="shared" si="349"/>
        <v>0.99428571428571422</v>
      </c>
      <c r="AE256" s="562">
        <f t="shared" si="373"/>
        <v>554.8949663099487</v>
      </c>
      <c r="AF256" s="545">
        <f t="shared" si="374"/>
        <v>0.10091999999999998</v>
      </c>
      <c r="AH256" s="178">
        <f t="shared" si="375"/>
        <v>0.44262666813799056</v>
      </c>
      <c r="AI256" s="178">
        <f t="shared" si="376"/>
        <v>0.47714090420857352</v>
      </c>
      <c r="AJ256" s="178">
        <f t="shared" si="377"/>
        <v>1.3386228920063508</v>
      </c>
      <c r="AL256" s="562">
        <f t="shared" si="378"/>
        <v>160.00000000000003</v>
      </c>
      <c r="AM256" s="471">
        <f t="shared" si="379"/>
        <v>317.04893128661172</v>
      </c>
      <c r="AO256">
        <f t="shared" si="357"/>
        <v>160.00000000000003</v>
      </c>
      <c r="AP256">
        <f t="shared" si="358"/>
        <v>317.04893128661172</v>
      </c>
      <c r="AR256" s="5">
        <f t="shared" si="322"/>
        <v>3.1540872758722585</v>
      </c>
      <c r="AS256" s="5">
        <f t="shared" si="361"/>
        <v>1.5181756043000065</v>
      </c>
      <c r="AT256" s="5">
        <f t="shared" si="362"/>
        <v>1.6359116715722519</v>
      </c>
      <c r="AU256" s="178">
        <f t="shared" si="363"/>
        <v>0.48133595284872299</v>
      </c>
      <c r="CD256" s="580">
        <f t="shared" si="380"/>
        <v>-50</v>
      </c>
    </row>
    <row r="257" spans="5:82" x14ac:dyDescent="0.2">
      <c r="E257" s="175">
        <v>41</v>
      </c>
      <c r="F257" s="222">
        <f t="shared" si="381"/>
        <v>0.16400000000000001</v>
      </c>
      <c r="G257" s="222">
        <f t="shared" si="364"/>
        <v>8.2000000000000003E-2</v>
      </c>
      <c r="H257" s="222">
        <f t="shared" si="365"/>
        <v>1.968</v>
      </c>
      <c r="I257" s="222">
        <f t="shared" si="366"/>
        <v>0.98399999999999999</v>
      </c>
      <c r="J257" s="558">
        <f t="shared" si="332"/>
        <v>26.4</v>
      </c>
      <c r="K257" s="453">
        <f t="shared" si="333"/>
        <v>24.5</v>
      </c>
      <c r="L257" s="453">
        <f t="shared" si="334"/>
        <v>50.9</v>
      </c>
      <c r="M257" s="453"/>
      <c r="N257" s="222">
        <f t="shared" si="335"/>
        <v>0.48133595284872299</v>
      </c>
      <c r="O257" s="177">
        <f t="shared" si="367"/>
        <v>5.8347544204322208</v>
      </c>
      <c r="P257" s="177">
        <f t="shared" si="368"/>
        <v>4.3760658153241652</v>
      </c>
      <c r="Q257" s="222">
        <f t="shared" si="338"/>
        <v>0.4862295350360184</v>
      </c>
      <c r="R257" s="222">
        <f t="shared" si="369"/>
        <v>0.4862295350360184</v>
      </c>
      <c r="S257" s="222">
        <f t="shared" si="370"/>
        <v>12</v>
      </c>
      <c r="T257" s="222">
        <f t="shared" si="371"/>
        <v>0.48906942681378773</v>
      </c>
      <c r="U257" s="222">
        <f t="shared" si="342"/>
        <v>1.5561299944075064</v>
      </c>
      <c r="V257" s="222">
        <f t="shared" si="343"/>
        <v>1.676809463361558</v>
      </c>
      <c r="W257" s="202">
        <f t="shared" si="344"/>
        <v>350</v>
      </c>
      <c r="X257" s="453">
        <f t="shared" si="345"/>
        <v>309.31603052352369</v>
      </c>
      <c r="Z257" s="222">
        <f t="shared" si="346"/>
        <v>0.4322200392927309</v>
      </c>
      <c r="AA257" s="178">
        <f t="shared" si="347"/>
        <v>1.4818972775750774</v>
      </c>
      <c r="AB257" s="178">
        <f t="shared" si="372"/>
        <v>0.14945132989296789</v>
      </c>
      <c r="AC257" s="178"/>
      <c r="AD257" s="178">
        <f t="shared" si="349"/>
        <v>0.99428571428571422</v>
      </c>
      <c r="AE257" s="562">
        <f t="shared" si="373"/>
        <v>568.76734046769741</v>
      </c>
      <c r="AF257" s="545">
        <f t="shared" si="374"/>
        <v>0.10091999999999998</v>
      </c>
      <c r="AH257" s="178">
        <f t="shared" si="375"/>
        <v>0.44812534689594635</v>
      </c>
      <c r="AI257" s="178">
        <f t="shared" si="376"/>
        <v>0.48906942681378773</v>
      </c>
      <c r="AJ257" s="178">
        <f t="shared" si="377"/>
        <v>1.3474588346768797</v>
      </c>
      <c r="AL257" s="562">
        <f t="shared" si="378"/>
        <v>164</v>
      </c>
      <c r="AM257" s="471">
        <f t="shared" si="379"/>
        <v>309.31603052352369</v>
      </c>
      <c r="AO257">
        <f t="shared" si="357"/>
        <v>164</v>
      </c>
      <c r="AP257">
        <f t="shared" si="358"/>
        <v>309.31603052352369</v>
      </c>
      <c r="AR257" s="5">
        <f t="shared" si="322"/>
        <v>3.232939457769064</v>
      </c>
      <c r="AS257" s="5">
        <f t="shared" si="361"/>
        <v>1.5561299944075064</v>
      </c>
      <c r="AT257" s="5">
        <f t="shared" si="362"/>
        <v>1.6768094633615576</v>
      </c>
      <c r="AU257" s="178">
        <f t="shared" si="363"/>
        <v>0.48133595284872305</v>
      </c>
      <c r="CD257" s="580">
        <f t="shared" si="380"/>
        <v>-50</v>
      </c>
    </row>
    <row r="258" spans="5:82" x14ac:dyDescent="0.2">
      <c r="E258" s="175">
        <v>42</v>
      </c>
      <c r="F258" s="222">
        <f t="shared" si="381"/>
        <v>0.16800000000000001</v>
      </c>
      <c r="G258" s="222">
        <f t="shared" si="364"/>
        <v>8.4000000000000005E-2</v>
      </c>
      <c r="H258" s="222">
        <f t="shared" si="365"/>
        <v>2.016</v>
      </c>
      <c r="I258" s="222">
        <f t="shared" si="366"/>
        <v>1.008</v>
      </c>
      <c r="J258" s="558">
        <f t="shared" si="332"/>
        <v>26.4</v>
      </c>
      <c r="K258" s="453">
        <f t="shared" si="333"/>
        <v>24.5</v>
      </c>
      <c r="L258" s="453">
        <f t="shared" si="334"/>
        <v>50.9</v>
      </c>
      <c r="M258" s="453"/>
      <c r="N258" s="222">
        <f t="shared" si="335"/>
        <v>0.48133595284872299</v>
      </c>
      <c r="O258" s="177">
        <f t="shared" si="367"/>
        <v>5.8347544204322208</v>
      </c>
      <c r="P258" s="177">
        <f t="shared" si="368"/>
        <v>4.3760658153241652</v>
      </c>
      <c r="Q258" s="222">
        <f t="shared" si="338"/>
        <v>0.4862295350360184</v>
      </c>
      <c r="R258" s="222">
        <f t="shared" si="369"/>
        <v>0.4862295350360184</v>
      </c>
      <c r="S258" s="222">
        <f t="shared" si="370"/>
        <v>12</v>
      </c>
      <c r="T258" s="222">
        <f t="shared" si="371"/>
        <v>0.50099794941900211</v>
      </c>
      <c r="U258" s="222">
        <f t="shared" si="342"/>
        <v>1.5940843845150068</v>
      </c>
      <c r="V258" s="222">
        <f t="shared" si="343"/>
        <v>1.7177072551508643</v>
      </c>
      <c r="W258" s="202">
        <f t="shared" si="344"/>
        <v>350</v>
      </c>
      <c r="X258" s="453">
        <f t="shared" si="345"/>
        <v>301.95136313010647</v>
      </c>
      <c r="Z258" s="222">
        <f t="shared" si="346"/>
        <v>0.4322200392927309</v>
      </c>
      <c r="AA258" s="178">
        <f t="shared" si="347"/>
        <v>1.4818972775750774</v>
      </c>
      <c r="AB258" s="178">
        <f t="shared" si="372"/>
        <v>0.14945132989296789</v>
      </c>
      <c r="AC258" s="178"/>
      <c r="AD258" s="178">
        <f t="shared" si="349"/>
        <v>0.99428571428571422</v>
      </c>
      <c r="AE258" s="562">
        <f t="shared" si="373"/>
        <v>582.63971462544612</v>
      </c>
      <c r="AF258" s="545">
        <f t="shared" si="374"/>
        <v>0.10091999999999998</v>
      </c>
      <c r="AH258" s="178">
        <f t="shared" si="375"/>
        <v>0.45355736761107268</v>
      </c>
      <c r="AI258" s="178">
        <f t="shared" si="376"/>
        <v>0.50099794941900211</v>
      </c>
      <c r="AJ258" s="178">
        <f t="shared" si="377"/>
        <v>1.356294777347409</v>
      </c>
      <c r="AL258" s="562">
        <f t="shared" si="378"/>
        <v>168</v>
      </c>
      <c r="AM258" s="471">
        <f t="shared" si="379"/>
        <v>301.95136313010647</v>
      </c>
      <c r="AO258">
        <f t="shared" si="357"/>
        <v>168</v>
      </c>
      <c r="AP258">
        <f t="shared" si="358"/>
        <v>301.95136313010647</v>
      </c>
      <c r="AR258" s="5">
        <f t="shared" si="322"/>
        <v>3.3117916396658709</v>
      </c>
      <c r="AS258" s="5">
        <f t="shared" si="361"/>
        <v>1.5940843845150068</v>
      </c>
      <c r="AT258" s="5">
        <f t="shared" si="362"/>
        <v>1.7177072551508641</v>
      </c>
      <c r="AU258" s="178">
        <f t="shared" si="363"/>
        <v>0.48133595284872305</v>
      </c>
      <c r="CD258" s="580">
        <f t="shared" si="380"/>
        <v>-50</v>
      </c>
    </row>
    <row r="259" spans="5:82" x14ac:dyDescent="0.2">
      <c r="E259" s="175">
        <v>43</v>
      </c>
      <c r="F259" s="222">
        <f t="shared" si="381"/>
        <v>0.17200000000000001</v>
      </c>
      <c r="G259" s="222">
        <f t="shared" si="364"/>
        <v>8.6000000000000007E-2</v>
      </c>
      <c r="H259" s="222">
        <f t="shared" si="365"/>
        <v>2.0640000000000001</v>
      </c>
      <c r="I259" s="222">
        <f t="shared" si="366"/>
        <v>1.032</v>
      </c>
      <c r="J259" s="558">
        <f t="shared" si="332"/>
        <v>26.4</v>
      </c>
      <c r="K259" s="453">
        <f t="shared" si="333"/>
        <v>24.5</v>
      </c>
      <c r="L259" s="453">
        <f t="shared" si="334"/>
        <v>50.9</v>
      </c>
      <c r="M259" s="453"/>
      <c r="N259" s="222">
        <f t="shared" si="335"/>
        <v>0.48133595284872299</v>
      </c>
      <c r="O259" s="177">
        <f t="shared" si="367"/>
        <v>5.8347544204322208</v>
      </c>
      <c r="P259" s="177">
        <f t="shared" si="368"/>
        <v>4.3760658153241652</v>
      </c>
      <c r="Q259" s="222">
        <f t="shared" si="338"/>
        <v>0.4862295350360184</v>
      </c>
      <c r="R259" s="222">
        <f t="shared" si="369"/>
        <v>0.4862295350360184</v>
      </c>
      <c r="S259" s="222">
        <f t="shared" si="370"/>
        <v>12</v>
      </c>
      <c r="T259" s="222">
        <f t="shared" si="371"/>
        <v>0.51292647202421637</v>
      </c>
      <c r="U259" s="222">
        <f t="shared" si="342"/>
        <v>1.6320387746225069</v>
      </c>
      <c r="V259" s="222">
        <f t="shared" si="343"/>
        <v>1.7586050469401704</v>
      </c>
      <c r="W259" s="202">
        <f t="shared" si="344"/>
        <v>350</v>
      </c>
      <c r="X259" s="453">
        <f t="shared" si="345"/>
        <v>294.92923840615049</v>
      </c>
      <c r="Z259" s="222">
        <f t="shared" si="346"/>
        <v>0.4322200392927309</v>
      </c>
      <c r="AA259" s="178">
        <f t="shared" si="347"/>
        <v>1.4818972775750774</v>
      </c>
      <c r="AB259" s="178">
        <f t="shared" si="372"/>
        <v>0.14945132989296789</v>
      </c>
      <c r="AC259" s="178"/>
      <c r="AD259" s="178">
        <f t="shared" si="349"/>
        <v>0.99428571428571422</v>
      </c>
      <c r="AE259" s="562">
        <f t="shared" si="373"/>
        <v>596.51208878319483</v>
      </c>
      <c r="AF259" s="545">
        <f t="shared" si="374"/>
        <v>0.10091999999999998</v>
      </c>
      <c r="AH259" s="178">
        <f t="shared" si="375"/>
        <v>0.45892509726311459</v>
      </c>
      <c r="AI259" s="178">
        <f t="shared" si="376"/>
        <v>0.51292647202421637</v>
      </c>
      <c r="AJ259" s="178">
        <f t="shared" si="377"/>
        <v>1.3651307200179379</v>
      </c>
      <c r="AL259" s="562">
        <f t="shared" si="378"/>
        <v>172</v>
      </c>
      <c r="AM259" s="471">
        <f t="shared" si="379"/>
        <v>294.92923840615049</v>
      </c>
      <c r="AO259">
        <f t="shared" si="357"/>
        <v>172</v>
      </c>
      <c r="AP259">
        <f t="shared" si="358"/>
        <v>294.92923840615049</v>
      </c>
      <c r="AR259" s="5">
        <f t="shared" si="322"/>
        <v>3.3906438215626773</v>
      </c>
      <c r="AS259" s="5">
        <f t="shared" si="361"/>
        <v>1.6320387746225069</v>
      </c>
      <c r="AT259" s="5">
        <f t="shared" si="362"/>
        <v>1.7586050469401704</v>
      </c>
      <c r="AU259" s="178">
        <f t="shared" si="363"/>
        <v>0.48133595284872305</v>
      </c>
      <c r="CD259" s="580">
        <f t="shared" si="380"/>
        <v>-50</v>
      </c>
    </row>
    <row r="260" spans="5:82" x14ac:dyDescent="0.2">
      <c r="E260" s="175">
        <v>44</v>
      </c>
      <c r="F260" s="222">
        <f t="shared" si="381"/>
        <v>0.17600000000000002</v>
      </c>
      <c r="G260" s="222">
        <f t="shared" si="364"/>
        <v>8.8000000000000009E-2</v>
      </c>
      <c r="H260" s="222">
        <f t="shared" si="365"/>
        <v>2.1120000000000001</v>
      </c>
      <c r="I260" s="222">
        <f t="shared" si="366"/>
        <v>1.056</v>
      </c>
      <c r="J260" s="558">
        <f t="shared" si="332"/>
        <v>26.4</v>
      </c>
      <c r="K260" s="453">
        <f t="shared" si="333"/>
        <v>24.5</v>
      </c>
      <c r="L260" s="453">
        <f t="shared" si="334"/>
        <v>50.9</v>
      </c>
      <c r="M260" s="453"/>
      <c r="N260" s="222">
        <f t="shared" si="335"/>
        <v>0.48133595284872299</v>
      </c>
      <c r="O260" s="177">
        <f t="shared" si="367"/>
        <v>5.8347544204322208</v>
      </c>
      <c r="P260" s="177">
        <f t="shared" si="368"/>
        <v>4.3760658153241652</v>
      </c>
      <c r="Q260" s="222">
        <f t="shared" si="338"/>
        <v>0.4862295350360184</v>
      </c>
      <c r="R260" s="222">
        <f t="shared" si="369"/>
        <v>0.4862295350360184</v>
      </c>
      <c r="S260" s="222">
        <f t="shared" si="370"/>
        <v>12</v>
      </c>
      <c r="T260" s="222">
        <f t="shared" si="371"/>
        <v>0.52485499462943075</v>
      </c>
      <c r="U260" s="222">
        <f t="shared" si="342"/>
        <v>1.669993164730007</v>
      </c>
      <c r="V260" s="222">
        <f t="shared" si="343"/>
        <v>1.7995028387294767</v>
      </c>
      <c r="W260" s="202">
        <f t="shared" si="344"/>
        <v>350</v>
      </c>
      <c r="X260" s="453">
        <f t="shared" si="345"/>
        <v>288.22630116964706</v>
      </c>
      <c r="Z260" s="222">
        <f t="shared" si="346"/>
        <v>0.4322200392927309</v>
      </c>
      <c r="AA260" s="178">
        <f t="shared" si="347"/>
        <v>1.4818972775750774</v>
      </c>
      <c r="AB260" s="178">
        <f t="shared" si="372"/>
        <v>0.14945132989296789</v>
      </c>
      <c r="AC260" s="178"/>
      <c r="AD260" s="178">
        <f t="shared" si="349"/>
        <v>0.99428571428571422</v>
      </c>
      <c r="AE260" s="562">
        <f t="shared" si="373"/>
        <v>610.38446294094354</v>
      </c>
      <c r="AF260" s="545">
        <f t="shared" si="374"/>
        <v>0.10091999999999998</v>
      </c>
      <c r="AH260" s="178">
        <f t="shared" si="375"/>
        <v>0.46423076597919777</v>
      </c>
      <c r="AI260" s="178">
        <f t="shared" si="376"/>
        <v>0.52485499462943075</v>
      </c>
      <c r="AJ260" s="178">
        <f t="shared" si="377"/>
        <v>1.3739666626884672</v>
      </c>
      <c r="AL260" s="562">
        <f t="shared" si="378"/>
        <v>176.00000000000003</v>
      </c>
      <c r="AM260" s="471">
        <f t="shared" si="379"/>
        <v>288.22630116964706</v>
      </c>
      <c r="AO260">
        <f t="shared" si="357"/>
        <v>176.00000000000003</v>
      </c>
      <c r="AP260">
        <f t="shared" si="358"/>
        <v>288.22630116964706</v>
      </c>
      <c r="AR260" s="5">
        <f t="shared" si="322"/>
        <v>3.4694960034594837</v>
      </c>
      <c r="AS260" s="5">
        <f t="shared" si="361"/>
        <v>1.669993164730007</v>
      </c>
      <c r="AT260" s="5">
        <f t="shared" si="362"/>
        <v>1.7995028387294767</v>
      </c>
      <c r="AU260" s="178">
        <f t="shared" si="363"/>
        <v>0.48133595284872305</v>
      </c>
      <c r="CD260" s="580">
        <f t="shared" si="380"/>
        <v>-50</v>
      </c>
    </row>
    <row r="261" spans="5:82" x14ac:dyDescent="0.2">
      <c r="E261" s="175">
        <v>45</v>
      </c>
      <c r="F261" s="222">
        <f t="shared" si="381"/>
        <v>0.18000000000000002</v>
      </c>
      <c r="G261" s="222">
        <f t="shared" si="364"/>
        <v>9.0000000000000011E-2</v>
      </c>
      <c r="H261" s="222">
        <f t="shared" si="365"/>
        <v>2.16</v>
      </c>
      <c r="I261" s="222">
        <f t="shared" si="366"/>
        <v>1.08</v>
      </c>
      <c r="J261" s="558">
        <f t="shared" si="332"/>
        <v>26.4</v>
      </c>
      <c r="K261" s="453">
        <f t="shared" si="333"/>
        <v>24.5</v>
      </c>
      <c r="L261" s="453">
        <f t="shared" si="334"/>
        <v>50.9</v>
      </c>
      <c r="M261" s="453"/>
      <c r="N261" s="222">
        <f t="shared" si="335"/>
        <v>0.48133595284872299</v>
      </c>
      <c r="O261" s="177">
        <f t="shared" si="367"/>
        <v>5.8347544204322208</v>
      </c>
      <c r="P261" s="177">
        <f t="shared" si="368"/>
        <v>4.3760658153241652</v>
      </c>
      <c r="Q261" s="222">
        <f t="shared" si="338"/>
        <v>0.4862295350360184</v>
      </c>
      <c r="R261" s="222">
        <f t="shared" si="369"/>
        <v>0.4862295350360184</v>
      </c>
      <c r="S261" s="222">
        <f t="shared" si="370"/>
        <v>12</v>
      </c>
      <c r="T261" s="222">
        <f t="shared" si="371"/>
        <v>0.53678351723464512</v>
      </c>
      <c r="U261" s="222">
        <f t="shared" si="342"/>
        <v>1.7079475548375072</v>
      </c>
      <c r="V261" s="222">
        <f t="shared" si="343"/>
        <v>1.840400630518783</v>
      </c>
      <c r="W261" s="202">
        <f t="shared" si="344"/>
        <v>350</v>
      </c>
      <c r="X261" s="453">
        <f t="shared" si="345"/>
        <v>281.82127225476597</v>
      </c>
      <c r="Z261" s="222">
        <f t="shared" si="346"/>
        <v>0.4322200392927309</v>
      </c>
      <c r="AA261" s="178">
        <f t="shared" si="347"/>
        <v>1.4818972775750774</v>
      </c>
      <c r="AB261" s="178">
        <f t="shared" si="372"/>
        <v>0.14945132989296789</v>
      </c>
      <c r="AC261" s="178"/>
      <c r="AD261" s="178">
        <f t="shared" si="349"/>
        <v>0.99428571428571422</v>
      </c>
      <c r="AE261" s="562">
        <f t="shared" si="373"/>
        <v>624.25683709869236</v>
      </c>
      <c r="AF261" s="545">
        <f t="shared" si="374"/>
        <v>0.10091999999999998</v>
      </c>
      <c r="AH261" s="178">
        <f t="shared" si="375"/>
        <v>0.46947647786157098</v>
      </c>
      <c r="AI261" s="178">
        <f t="shared" si="376"/>
        <v>0.53678351723464512</v>
      </c>
      <c r="AJ261" s="178">
        <f t="shared" si="377"/>
        <v>1.3828026053589964</v>
      </c>
      <c r="AL261" s="562">
        <f t="shared" si="378"/>
        <v>180.00000000000003</v>
      </c>
      <c r="AM261" s="471">
        <f t="shared" si="379"/>
        <v>281.82127225476597</v>
      </c>
      <c r="AO261">
        <f t="shared" si="357"/>
        <v>180.00000000000003</v>
      </c>
      <c r="AP261">
        <f t="shared" si="358"/>
        <v>281.82127225476597</v>
      </c>
      <c r="AR261" s="5">
        <f t="shared" si="322"/>
        <v>3.548348185356291</v>
      </c>
      <c r="AS261" s="5">
        <f t="shared" si="361"/>
        <v>1.7079475548375072</v>
      </c>
      <c r="AT261" s="5">
        <f t="shared" si="362"/>
        <v>1.8404006305187839</v>
      </c>
      <c r="AU261" s="178">
        <f t="shared" si="363"/>
        <v>0.48133595284872288</v>
      </c>
      <c r="CD261" s="580">
        <f t="shared" si="380"/>
        <v>-50</v>
      </c>
    </row>
    <row r="262" spans="5:82" x14ac:dyDescent="0.2">
      <c r="E262" s="175">
        <v>46</v>
      </c>
      <c r="F262" s="222">
        <f t="shared" si="381"/>
        <v>0.18400000000000002</v>
      </c>
      <c r="G262" s="222">
        <f t="shared" si="364"/>
        <v>9.2000000000000012E-2</v>
      </c>
      <c r="H262" s="222">
        <f t="shared" si="365"/>
        <v>2.2080000000000002</v>
      </c>
      <c r="I262" s="222">
        <f t="shared" si="366"/>
        <v>1.1040000000000001</v>
      </c>
      <c r="J262" s="558">
        <f t="shared" si="332"/>
        <v>26.4</v>
      </c>
      <c r="K262" s="453">
        <f t="shared" si="333"/>
        <v>24.5</v>
      </c>
      <c r="L262" s="453">
        <f t="shared" si="334"/>
        <v>50.9</v>
      </c>
      <c r="M262" s="453"/>
      <c r="N262" s="222">
        <f t="shared" si="335"/>
        <v>0.48133595284872299</v>
      </c>
      <c r="O262" s="177">
        <f t="shared" si="367"/>
        <v>5.8347544204322208</v>
      </c>
      <c r="P262" s="177">
        <f t="shared" si="368"/>
        <v>4.3760658153241652</v>
      </c>
      <c r="Q262" s="222">
        <f t="shared" si="338"/>
        <v>0.4862295350360184</v>
      </c>
      <c r="R262" s="222">
        <f t="shared" si="369"/>
        <v>0.4862295350360184</v>
      </c>
      <c r="S262" s="222">
        <f t="shared" si="370"/>
        <v>12</v>
      </c>
      <c r="T262" s="222">
        <f t="shared" si="371"/>
        <v>0.5487120398398595</v>
      </c>
      <c r="U262" s="222">
        <f t="shared" si="342"/>
        <v>1.7459019449450075</v>
      </c>
      <c r="V262" s="222">
        <f t="shared" si="343"/>
        <v>1.8812984223080897</v>
      </c>
      <c r="W262" s="202">
        <f t="shared" si="344"/>
        <v>350</v>
      </c>
      <c r="X262" s="453">
        <f t="shared" si="345"/>
        <v>275.69472285792324</v>
      </c>
      <c r="Z262" s="222">
        <f t="shared" si="346"/>
        <v>0.4322200392927309</v>
      </c>
      <c r="AA262" s="178">
        <f t="shared" si="347"/>
        <v>1.4818972775750774</v>
      </c>
      <c r="AB262" s="178">
        <f t="shared" si="372"/>
        <v>0.14945132989296789</v>
      </c>
      <c r="AC262" s="178"/>
      <c r="AD262" s="178">
        <f t="shared" si="349"/>
        <v>0.99428571428571422</v>
      </c>
      <c r="AE262" s="562">
        <f t="shared" si="373"/>
        <v>638.12921125644095</v>
      </c>
      <c r="AF262" s="545">
        <f t="shared" si="374"/>
        <v>0.10091999999999998</v>
      </c>
      <c r="AH262" s="178">
        <f t="shared" si="375"/>
        <v>0.47466422073817577</v>
      </c>
      <c r="AI262" s="178">
        <f t="shared" si="376"/>
        <v>0.5487120398398595</v>
      </c>
      <c r="AJ262" s="178">
        <f t="shared" si="377"/>
        <v>1.3916385480295255</v>
      </c>
      <c r="AL262" s="562">
        <f t="shared" si="378"/>
        <v>184.00000000000003</v>
      </c>
      <c r="AM262" s="471">
        <f t="shared" si="379"/>
        <v>275.69472285792324</v>
      </c>
      <c r="AO262">
        <f t="shared" si="357"/>
        <v>184.00000000000003</v>
      </c>
      <c r="AP262">
        <f t="shared" si="358"/>
        <v>275.69472285792324</v>
      </c>
      <c r="AR262" s="5">
        <f t="shared" si="322"/>
        <v>3.627200367253097</v>
      </c>
      <c r="AS262" s="5">
        <f t="shared" si="361"/>
        <v>1.7459019449450075</v>
      </c>
      <c r="AT262" s="5">
        <f t="shared" si="362"/>
        <v>1.8812984223080895</v>
      </c>
      <c r="AU262" s="178">
        <f t="shared" si="363"/>
        <v>0.48133595284872299</v>
      </c>
      <c r="CD262" s="580">
        <f t="shared" si="380"/>
        <v>-50</v>
      </c>
    </row>
    <row r="263" spans="5:82" x14ac:dyDescent="0.2">
      <c r="E263" s="175">
        <v>47</v>
      </c>
      <c r="F263" s="222">
        <f t="shared" si="381"/>
        <v>0.188</v>
      </c>
      <c r="G263" s="222">
        <f t="shared" si="364"/>
        <v>9.4E-2</v>
      </c>
      <c r="H263" s="222">
        <f t="shared" si="365"/>
        <v>2.2560000000000002</v>
      </c>
      <c r="I263" s="222">
        <f t="shared" si="366"/>
        <v>1.1280000000000001</v>
      </c>
      <c r="J263" s="558">
        <f t="shared" si="332"/>
        <v>26.4</v>
      </c>
      <c r="K263" s="453">
        <f t="shared" si="333"/>
        <v>24.5</v>
      </c>
      <c r="L263" s="453">
        <f t="shared" si="334"/>
        <v>50.9</v>
      </c>
      <c r="M263" s="453"/>
      <c r="N263" s="222">
        <f t="shared" si="335"/>
        <v>0.48133595284872299</v>
      </c>
      <c r="O263" s="177">
        <f t="shared" si="367"/>
        <v>5.8347544204322208</v>
      </c>
      <c r="P263" s="177">
        <f t="shared" si="368"/>
        <v>4.3760658153241652</v>
      </c>
      <c r="Q263" s="222">
        <f t="shared" si="338"/>
        <v>0.4862295350360184</v>
      </c>
      <c r="R263" s="222">
        <f t="shared" si="369"/>
        <v>0.4862295350360184</v>
      </c>
      <c r="S263" s="222">
        <f t="shared" si="370"/>
        <v>12</v>
      </c>
      <c r="T263" s="222">
        <f t="shared" si="371"/>
        <v>0.56064056244507376</v>
      </c>
      <c r="U263" s="222">
        <f t="shared" si="342"/>
        <v>1.7838563350525074</v>
      </c>
      <c r="V263" s="222">
        <f t="shared" si="343"/>
        <v>1.9221962140973956</v>
      </c>
      <c r="W263" s="202">
        <f t="shared" si="344"/>
        <v>350</v>
      </c>
      <c r="X263" s="453">
        <f t="shared" si="345"/>
        <v>269.82887769073346</v>
      </c>
      <c r="Z263" s="222">
        <f t="shared" si="346"/>
        <v>0.4322200392927309</v>
      </c>
      <c r="AA263" s="178">
        <f t="shared" si="347"/>
        <v>1.4818972775750774</v>
      </c>
      <c r="AB263" s="178">
        <f t="shared" si="372"/>
        <v>0.14945132989296789</v>
      </c>
      <c r="AC263" s="178"/>
      <c r="AD263" s="178">
        <f t="shared" si="349"/>
        <v>0.99428571428571422</v>
      </c>
      <c r="AE263" s="562">
        <f t="shared" si="373"/>
        <v>652.00158541418966</v>
      </c>
      <c r="AF263" s="545">
        <f t="shared" si="374"/>
        <v>0.10091999999999998</v>
      </c>
      <c r="AH263" s="178">
        <f t="shared" si="375"/>
        <v>0.47979587496419046</v>
      </c>
      <c r="AI263" s="178">
        <f t="shared" si="376"/>
        <v>0.56064056244507376</v>
      </c>
      <c r="AJ263" s="178">
        <f t="shared" si="377"/>
        <v>1.4004744907000546</v>
      </c>
      <c r="AL263" s="562">
        <f t="shared" si="378"/>
        <v>188</v>
      </c>
      <c r="AM263" s="471">
        <f t="shared" si="379"/>
        <v>269.82887769073346</v>
      </c>
      <c r="AO263">
        <f t="shared" si="357"/>
        <v>188</v>
      </c>
      <c r="AP263">
        <f t="shared" si="358"/>
        <v>269.82887769073346</v>
      </c>
      <c r="AR263" s="5">
        <f t="shared" ref="AR263:AR316" si="382">1/AM263*1000</f>
        <v>3.7060525491499026</v>
      </c>
      <c r="AS263" s="5">
        <f t="shared" si="361"/>
        <v>1.7838563350525074</v>
      </c>
      <c r="AT263" s="5">
        <f t="shared" si="362"/>
        <v>1.9221962140973952</v>
      </c>
      <c r="AU263" s="178">
        <f t="shared" si="363"/>
        <v>0.48133595284872305</v>
      </c>
      <c r="CD263" s="580">
        <f t="shared" si="380"/>
        <v>-50</v>
      </c>
    </row>
    <row r="264" spans="5:82" x14ac:dyDescent="0.2">
      <c r="E264" s="175">
        <v>48</v>
      </c>
      <c r="F264" s="222">
        <f t="shared" si="381"/>
        <v>0.192</v>
      </c>
      <c r="G264" s="222">
        <f t="shared" si="364"/>
        <v>9.6000000000000002E-2</v>
      </c>
      <c r="H264" s="222">
        <f t="shared" si="365"/>
        <v>2.3040000000000003</v>
      </c>
      <c r="I264" s="222">
        <f t="shared" si="366"/>
        <v>1.1520000000000001</v>
      </c>
      <c r="J264" s="558">
        <f t="shared" si="332"/>
        <v>26.4</v>
      </c>
      <c r="K264" s="453">
        <f t="shared" si="333"/>
        <v>24.5</v>
      </c>
      <c r="L264" s="453">
        <f t="shared" si="334"/>
        <v>50.9</v>
      </c>
      <c r="M264" s="453"/>
      <c r="N264" s="222">
        <f t="shared" si="335"/>
        <v>0.48133595284872299</v>
      </c>
      <c r="O264" s="177">
        <f t="shared" si="367"/>
        <v>5.8347544204322208</v>
      </c>
      <c r="P264" s="177">
        <f t="shared" si="368"/>
        <v>4.3760658153241652</v>
      </c>
      <c r="Q264" s="222">
        <f t="shared" si="338"/>
        <v>0.4862295350360184</v>
      </c>
      <c r="R264" s="222">
        <f t="shared" si="369"/>
        <v>0.4862295350360184</v>
      </c>
      <c r="S264" s="222">
        <f t="shared" si="370"/>
        <v>12</v>
      </c>
      <c r="T264" s="222">
        <f t="shared" si="371"/>
        <v>0.57256908505028814</v>
      </c>
      <c r="U264" s="222">
        <f t="shared" si="342"/>
        <v>1.8218107251600075</v>
      </c>
      <c r="V264" s="222">
        <f t="shared" si="343"/>
        <v>1.9630940058867021</v>
      </c>
      <c r="W264" s="202">
        <f t="shared" si="344"/>
        <v>350</v>
      </c>
      <c r="X264" s="453">
        <f t="shared" si="345"/>
        <v>264.20744273884316</v>
      </c>
      <c r="Z264" s="222">
        <f t="shared" si="346"/>
        <v>0.4322200392927309</v>
      </c>
      <c r="AA264" s="178">
        <f t="shared" si="347"/>
        <v>1.4818972775750774</v>
      </c>
      <c r="AB264" s="178">
        <f t="shared" si="372"/>
        <v>0.14945132989296789</v>
      </c>
      <c r="AC264" s="178"/>
      <c r="AD264" s="178">
        <f t="shared" si="349"/>
        <v>0.99428571428571422</v>
      </c>
      <c r="AE264" s="562">
        <f t="shared" si="373"/>
        <v>665.87395957193837</v>
      </c>
      <c r="AF264" s="545">
        <f t="shared" si="374"/>
        <v>0.10091999999999998</v>
      </c>
      <c r="AH264" s="178">
        <f t="shared" si="375"/>
        <v>0.48487322138506123</v>
      </c>
      <c r="AI264" s="178">
        <f t="shared" si="376"/>
        <v>0.57256908505028814</v>
      </c>
      <c r="AJ264" s="178">
        <f t="shared" si="377"/>
        <v>1.4093104333705837</v>
      </c>
      <c r="AL264" s="562">
        <f t="shared" si="378"/>
        <v>192</v>
      </c>
      <c r="AM264" s="471">
        <f t="shared" si="379"/>
        <v>264.20744273884316</v>
      </c>
      <c r="AO264">
        <f t="shared" si="357"/>
        <v>192</v>
      </c>
      <c r="AP264">
        <f t="shared" si="358"/>
        <v>264.20744273884316</v>
      </c>
      <c r="AR264" s="5">
        <f t="shared" si="382"/>
        <v>3.7849047310467094</v>
      </c>
      <c r="AS264" s="5">
        <f t="shared" si="361"/>
        <v>1.8218107251600075</v>
      </c>
      <c r="AT264" s="5">
        <f t="shared" si="362"/>
        <v>1.9630940058867019</v>
      </c>
      <c r="AU264" s="178">
        <f t="shared" si="363"/>
        <v>0.48133595284872299</v>
      </c>
      <c r="CD264" s="580">
        <f t="shared" si="380"/>
        <v>-50</v>
      </c>
    </row>
    <row r="265" spans="5:82" x14ac:dyDescent="0.2">
      <c r="E265" s="175">
        <v>49</v>
      </c>
      <c r="F265" s="222">
        <f t="shared" si="381"/>
        <v>0.19600000000000001</v>
      </c>
      <c r="G265" s="222">
        <f t="shared" si="364"/>
        <v>9.8000000000000004E-2</v>
      </c>
      <c r="H265" s="222">
        <f t="shared" si="365"/>
        <v>2.3520000000000003</v>
      </c>
      <c r="I265" s="222">
        <f t="shared" si="366"/>
        <v>1.1760000000000002</v>
      </c>
      <c r="J265" s="558">
        <f t="shared" si="332"/>
        <v>26.4</v>
      </c>
      <c r="K265" s="453">
        <f t="shared" si="333"/>
        <v>24.5</v>
      </c>
      <c r="L265" s="453">
        <f t="shared" si="334"/>
        <v>50.9</v>
      </c>
      <c r="M265" s="453"/>
      <c r="N265" s="222">
        <f t="shared" si="335"/>
        <v>0.48133595284872299</v>
      </c>
      <c r="O265" s="177">
        <f t="shared" si="367"/>
        <v>5.8347544204322208</v>
      </c>
      <c r="P265" s="177">
        <f t="shared" si="368"/>
        <v>4.3760658153241652</v>
      </c>
      <c r="Q265" s="222">
        <f t="shared" si="338"/>
        <v>0.4862295350360184</v>
      </c>
      <c r="R265" s="222">
        <f t="shared" si="369"/>
        <v>0.4862295350360184</v>
      </c>
      <c r="S265" s="222">
        <f t="shared" si="370"/>
        <v>12</v>
      </c>
      <c r="T265" s="222">
        <f t="shared" si="371"/>
        <v>0.58449760765550252</v>
      </c>
      <c r="U265" s="222">
        <f t="shared" si="342"/>
        <v>1.8597651152675079</v>
      </c>
      <c r="V265" s="222">
        <f t="shared" si="343"/>
        <v>2.0039917976760084</v>
      </c>
      <c r="W265" s="202">
        <f t="shared" si="344"/>
        <v>350</v>
      </c>
      <c r="X265" s="453">
        <f t="shared" si="345"/>
        <v>258.81545411151978</v>
      </c>
      <c r="Z265" s="222">
        <f t="shared" si="346"/>
        <v>0.4322200392927309</v>
      </c>
      <c r="AA265" s="178">
        <f t="shared" si="347"/>
        <v>1.4818972775750774</v>
      </c>
      <c r="AB265" s="178">
        <f t="shared" si="372"/>
        <v>0.14945132989296789</v>
      </c>
      <c r="AC265" s="178"/>
      <c r="AD265" s="178">
        <f t="shared" si="349"/>
        <v>0.99428571428571422</v>
      </c>
      <c r="AE265" s="562">
        <f t="shared" si="373"/>
        <v>679.74633372968708</v>
      </c>
      <c r="AF265" s="545">
        <f t="shared" si="374"/>
        <v>0.10091999999999998</v>
      </c>
      <c r="AH265" s="178">
        <f t="shared" si="375"/>
        <v>0.48989794855663565</v>
      </c>
      <c r="AI265" s="178">
        <f t="shared" si="376"/>
        <v>0.58449760765550252</v>
      </c>
      <c r="AJ265" s="178">
        <f t="shared" si="377"/>
        <v>1.418146376041113</v>
      </c>
      <c r="AL265" s="562">
        <f t="shared" si="378"/>
        <v>196</v>
      </c>
      <c r="AM265" s="471">
        <f t="shared" si="379"/>
        <v>258.81545411151978</v>
      </c>
      <c r="AO265">
        <f t="shared" si="357"/>
        <v>196</v>
      </c>
      <c r="AP265">
        <f t="shared" si="358"/>
        <v>258.81545411151978</v>
      </c>
      <c r="AR265" s="5">
        <f t="shared" si="382"/>
        <v>3.8637569129435163</v>
      </c>
      <c r="AS265" s="5">
        <f t="shared" si="361"/>
        <v>1.8597651152675079</v>
      </c>
      <c r="AT265" s="5">
        <f t="shared" si="362"/>
        <v>2.0039917976760084</v>
      </c>
      <c r="AU265" s="178">
        <f t="shared" si="363"/>
        <v>0.48133595284872299</v>
      </c>
      <c r="CD265" s="580">
        <f t="shared" si="380"/>
        <v>-50</v>
      </c>
    </row>
    <row r="266" spans="5:82" x14ac:dyDescent="0.2">
      <c r="E266" s="175">
        <v>50</v>
      </c>
      <c r="F266" s="222">
        <f t="shared" si="381"/>
        <v>0.2</v>
      </c>
      <c r="G266" s="222">
        <f t="shared" si="364"/>
        <v>0.1</v>
      </c>
      <c r="H266" s="222">
        <f t="shared" si="365"/>
        <v>2.4000000000000004</v>
      </c>
      <c r="I266" s="222">
        <f t="shared" si="366"/>
        <v>1.2000000000000002</v>
      </c>
      <c r="J266" s="558">
        <f t="shared" si="332"/>
        <v>26.4</v>
      </c>
      <c r="K266" s="453">
        <f t="shared" si="333"/>
        <v>24.5</v>
      </c>
      <c r="L266" s="453">
        <f t="shared" si="334"/>
        <v>50.9</v>
      </c>
      <c r="M266" s="453"/>
      <c r="N266" s="222">
        <f t="shared" si="335"/>
        <v>0.48133595284872299</v>
      </c>
      <c r="O266" s="177">
        <f t="shared" si="367"/>
        <v>5.8347544204322208</v>
      </c>
      <c r="P266" s="177">
        <f t="shared" si="368"/>
        <v>4.3760658153241652</v>
      </c>
      <c r="Q266" s="222">
        <f t="shared" si="338"/>
        <v>0.4862295350360184</v>
      </c>
      <c r="R266" s="222">
        <f t="shared" si="369"/>
        <v>0.4862295350360184</v>
      </c>
      <c r="S266" s="222">
        <f t="shared" si="370"/>
        <v>12</v>
      </c>
      <c r="T266" s="222">
        <f t="shared" si="371"/>
        <v>0.59642613026071678</v>
      </c>
      <c r="U266" s="222">
        <f t="shared" si="342"/>
        <v>1.897719505375008</v>
      </c>
      <c r="V266" s="222">
        <f t="shared" si="343"/>
        <v>2.0448895894653143</v>
      </c>
      <c r="W266" s="202">
        <f t="shared" si="344"/>
        <v>350</v>
      </c>
      <c r="X266" s="453">
        <f t="shared" si="345"/>
        <v>253.63914502928941</v>
      </c>
      <c r="Z266" s="222">
        <f t="shared" si="346"/>
        <v>0.4322200392927309</v>
      </c>
      <c r="AA266" s="178">
        <f t="shared" si="347"/>
        <v>1.4818972775750774</v>
      </c>
      <c r="AB266" s="178">
        <f t="shared" si="372"/>
        <v>0.14945132989296789</v>
      </c>
      <c r="AC266" s="178"/>
      <c r="AD266" s="178">
        <f t="shared" si="349"/>
        <v>0.99428571428571422</v>
      </c>
      <c r="AE266" s="562">
        <f t="shared" si="373"/>
        <v>693.61870788743579</v>
      </c>
      <c r="AF266" s="545">
        <f t="shared" si="374"/>
        <v>0.10091999999999998</v>
      </c>
      <c r="AH266" s="178">
        <f t="shared" si="375"/>
        <v>0.49487165930539356</v>
      </c>
      <c r="AI266" s="178">
        <f t="shared" si="376"/>
        <v>0.59642613026071678</v>
      </c>
      <c r="AJ266" s="178">
        <f t="shared" si="377"/>
        <v>1.4269823187116422</v>
      </c>
      <c r="AL266" s="562">
        <f t="shared" si="378"/>
        <v>200</v>
      </c>
      <c r="AM266" s="471">
        <f t="shared" si="379"/>
        <v>253.63914502928941</v>
      </c>
      <c r="AO266">
        <f t="shared" si="357"/>
        <v>200</v>
      </c>
      <c r="AP266">
        <f t="shared" si="358"/>
        <v>253.63914502928941</v>
      </c>
      <c r="AR266" s="5">
        <f t="shared" si="382"/>
        <v>3.9426090948403227</v>
      </c>
      <c r="AS266" s="5">
        <f t="shared" si="361"/>
        <v>1.897719505375008</v>
      </c>
      <c r="AT266" s="5">
        <f t="shared" si="362"/>
        <v>2.0448895894653147</v>
      </c>
      <c r="AU266" s="178">
        <f t="shared" si="363"/>
        <v>0.48133595284872299</v>
      </c>
      <c r="CD266" s="580">
        <f t="shared" si="380"/>
        <v>-50</v>
      </c>
    </row>
    <row r="267" spans="5:82" x14ac:dyDescent="0.2">
      <c r="E267" s="175">
        <v>51</v>
      </c>
      <c r="F267" s="222">
        <f t="shared" si="381"/>
        <v>0.20400000000000001</v>
      </c>
      <c r="G267" s="222">
        <f t="shared" si="364"/>
        <v>0.10200000000000001</v>
      </c>
      <c r="H267" s="222">
        <f t="shared" si="365"/>
        <v>2.4480000000000004</v>
      </c>
      <c r="I267" s="222">
        <f t="shared" si="366"/>
        <v>1.2240000000000002</v>
      </c>
      <c r="J267" s="558">
        <f t="shared" si="332"/>
        <v>26.4</v>
      </c>
      <c r="K267" s="453">
        <f t="shared" si="333"/>
        <v>24.5</v>
      </c>
      <c r="L267" s="453">
        <f t="shared" si="334"/>
        <v>50.9</v>
      </c>
      <c r="M267" s="453"/>
      <c r="N267" s="222">
        <f t="shared" si="335"/>
        <v>0.48133595284872299</v>
      </c>
      <c r="O267" s="177">
        <f t="shared" si="367"/>
        <v>5.8347544204322208</v>
      </c>
      <c r="P267" s="177">
        <f t="shared" si="368"/>
        <v>4.3760658153241652</v>
      </c>
      <c r="Q267" s="222">
        <f t="shared" si="338"/>
        <v>0.4862295350360184</v>
      </c>
      <c r="R267" s="222">
        <f t="shared" si="369"/>
        <v>0.4862295350360184</v>
      </c>
      <c r="S267" s="222">
        <f t="shared" si="370"/>
        <v>12</v>
      </c>
      <c r="T267" s="222">
        <f t="shared" si="371"/>
        <v>0.60835465286593116</v>
      </c>
      <c r="U267" s="222">
        <f t="shared" si="342"/>
        <v>1.9356738954825083</v>
      </c>
      <c r="V267" s="222">
        <f t="shared" si="343"/>
        <v>2.085787381254621</v>
      </c>
      <c r="W267" s="202">
        <f t="shared" si="344"/>
        <v>350</v>
      </c>
      <c r="X267" s="453">
        <f t="shared" si="345"/>
        <v>248.66582846008762</v>
      </c>
      <c r="Z267" s="222">
        <f t="shared" si="346"/>
        <v>0.4322200392927309</v>
      </c>
      <c r="AA267" s="178">
        <f t="shared" si="347"/>
        <v>1.4818972775750774</v>
      </c>
      <c r="AB267" s="178">
        <f t="shared" si="372"/>
        <v>0.14945132989296789</v>
      </c>
      <c r="AC267" s="178"/>
      <c r="AD267" s="178">
        <f t="shared" si="349"/>
        <v>0.99428571428571422</v>
      </c>
      <c r="AE267" s="562">
        <f t="shared" si="373"/>
        <v>707.49108204518461</v>
      </c>
      <c r="AF267" s="545">
        <f t="shared" si="374"/>
        <v>0.10091999999999998</v>
      </c>
      <c r="AH267" s="178">
        <f t="shared" si="375"/>
        <v>0.49979587670102582</v>
      </c>
      <c r="AI267" s="178">
        <f t="shared" si="376"/>
        <v>0.60835465286593116</v>
      </c>
      <c r="AJ267" s="178">
        <f t="shared" si="377"/>
        <v>1.4358182613821713</v>
      </c>
      <c r="AL267" s="562">
        <f t="shared" si="378"/>
        <v>204.00000000000003</v>
      </c>
      <c r="AM267" s="471">
        <f t="shared" si="379"/>
        <v>248.66582846008762</v>
      </c>
      <c r="AO267">
        <f t="shared" si="357"/>
        <v>204.00000000000003</v>
      </c>
      <c r="AP267">
        <f t="shared" si="358"/>
        <v>248.66582846008762</v>
      </c>
      <c r="AR267" s="5">
        <f t="shared" si="382"/>
        <v>4.0214612767371296</v>
      </c>
      <c r="AS267" s="5">
        <f t="shared" si="361"/>
        <v>1.9356738954825083</v>
      </c>
      <c r="AT267" s="5">
        <f t="shared" si="362"/>
        <v>2.0857873812546215</v>
      </c>
      <c r="AU267" s="178">
        <f t="shared" si="363"/>
        <v>0.48133595284872299</v>
      </c>
      <c r="CD267" s="580">
        <f t="shared" si="380"/>
        <v>-50</v>
      </c>
    </row>
    <row r="268" spans="5:82" x14ac:dyDescent="0.2">
      <c r="E268" s="175">
        <v>52</v>
      </c>
      <c r="F268" s="222">
        <f t="shared" si="381"/>
        <v>0.20800000000000002</v>
      </c>
      <c r="G268" s="222">
        <f t="shared" si="364"/>
        <v>0.10400000000000001</v>
      </c>
      <c r="H268" s="222">
        <f t="shared" si="365"/>
        <v>2.4960000000000004</v>
      </c>
      <c r="I268" s="222">
        <f t="shared" si="366"/>
        <v>1.2480000000000002</v>
      </c>
      <c r="J268" s="558">
        <f t="shared" si="332"/>
        <v>26.4</v>
      </c>
      <c r="K268" s="453">
        <f t="shared" si="333"/>
        <v>24.5</v>
      </c>
      <c r="L268" s="453">
        <f t="shared" si="334"/>
        <v>50.9</v>
      </c>
      <c r="M268" s="453"/>
      <c r="N268" s="222">
        <f t="shared" si="335"/>
        <v>0.48133595284872299</v>
      </c>
      <c r="O268" s="177">
        <f t="shared" si="367"/>
        <v>5.8347544204322208</v>
      </c>
      <c r="P268" s="177">
        <f t="shared" si="368"/>
        <v>4.3760658153241652</v>
      </c>
      <c r="Q268" s="222">
        <f t="shared" si="338"/>
        <v>0.4862295350360184</v>
      </c>
      <c r="R268" s="222">
        <f t="shared" si="369"/>
        <v>0.4862295350360184</v>
      </c>
      <c r="S268" s="222">
        <f t="shared" si="370"/>
        <v>12</v>
      </c>
      <c r="T268" s="222">
        <f t="shared" si="371"/>
        <v>0.62028317547114553</v>
      </c>
      <c r="U268" s="222">
        <f t="shared" si="342"/>
        <v>1.9736282855900085</v>
      </c>
      <c r="V268" s="222">
        <f t="shared" si="343"/>
        <v>2.1266851730439273</v>
      </c>
      <c r="W268" s="202">
        <f t="shared" si="344"/>
        <v>350</v>
      </c>
      <c r="X268" s="453">
        <f t="shared" si="345"/>
        <v>243.88379329739362</v>
      </c>
      <c r="Z268" s="222">
        <f t="shared" si="346"/>
        <v>0.4322200392927309</v>
      </c>
      <c r="AA268" s="178">
        <f t="shared" si="347"/>
        <v>1.4818972775750774</v>
      </c>
      <c r="AB268" s="178">
        <f t="shared" si="372"/>
        <v>0.14945132989296789</v>
      </c>
      <c r="AC268" s="178"/>
      <c r="AD268" s="178">
        <f t="shared" si="349"/>
        <v>0.99428571428571422</v>
      </c>
      <c r="AE268" s="562">
        <f t="shared" si="373"/>
        <v>721.36345620293321</v>
      </c>
      <c r="AF268" s="545">
        <f t="shared" si="374"/>
        <v>0.10091999999999998</v>
      </c>
      <c r="AH268" s="178">
        <f t="shared" si="375"/>
        <v>0.50467204950444844</v>
      </c>
      <c r="AI268" s="178">
        <f t="shared" si="376"/>
        <v>0.62028317547114553</v>
      </c>
      <c r="AJ268" s="178">
        <f t="shared" si="377"/>
        <v>1.4446542040527004</v>
      </c>
      <c r="AL268" s="562">
        <f t="shared" si="378"/>
        <v>208.00000000000003</v>
      </c>
      <c r="AM268" s="471">
        <f t="shared" si="379"/>
        <v>243.88379329739362</v>
      </c>
      <c r="AO268">
        <f t="shared" si="357"/>
        <v>208.00000000000003</v>
      </c>
      <c r="AP268">
        <f t="shared" si="358"/>
        <v>243.88379329739362</v>
      </c>
      <c r="AR268" s="5">
        <f t="shared" si="382"/>
        <v>4.100313458633936</v>
      </c>
      <c r="AS268" s="5">
        <f t="shared" si="361"/>
        <v>1.9736282855900085</v>
      </c>
      <c r="AT268" s="5">
        <f t="shared" si="362"/>
        <v>2.1266851730439278</v>
      </c>
      <c r="AU268" s="178">
        <f t="shared" si="363"/>
        <v>0.48133595284872299</v>
      </c>
      <c r="CD268" s="580">
        <f t="shared" si="380"/>
        <v>-50</v>
      </c>
    </row>
    <row r="269" spans="5:82" x14ac:dyDescent="0.2">
      <c r="E269" s="175">
        <v>53</v>
      </c>
      <c r="F269" s="222">
        <f t="shared" si="381"/>
        <v>0.21200000000000002</v>
      </c>
      <c r="G269" s="222">
        <f t="shared" si="364"/>
        <v>0.10600000000000001</v>
      </c>
      <c r="H269" s="222">
        <f t="shared" si="365"/>
        <v>2.5440000000000005</v>
      </c>
      <c r="I269" s="222">
        <f t="shared" si="366"/>
        <v>1.2720000000000002</v>
      </c>
      <c r="J269" s="558">
        <f t="shared" si="332"/>
        <v>26.4</v>
      </c>
      <c r="K269" s="453">
        <f t="shared" si="333"/>
        <v>24.5</v>
      </c>
      <c r="L269" s="453">
        <f t="shared" si="334"/>
        <v>50.9</v>
      </c>
      <c r="M269" s="453"/>
      <c r="N269" s="222">
        <f t="shared" si="335"/>
        <v>0.48133595284872299</v>
      </c>
      <c r="O269" s="177">
        <f t="shared" si="367"/>
        <v>5.8347544204322208</v>
      </c>
      <c r="P269" s="177">
        <f t="shared" si="368"/>
        <v>4.3760658153241652</v>
      </c>
      <c r="Q269" s="222">
        <f t="shared" si="338"/>
        <v>0.4862295350360184</v>
      </c>
      <c r="R269" s="222">
        <f t="shared" si="369"/>
        <v>0.4862295350360184</v>
      </c>
      <c r="S269" s="222">
        <f t="shared" si="370"/>
        <v>12</v>
      </c>
      <c r="T269" s="222">
        <f t="shared" si="371"/>
        <v>0.63221169807635991</v>
      </c>
      <c r="U269" s="222">
        <f t="shared" si="342"/>
        <v>2.0115826756975088</v>
      </c>
      <c r="V269" s="222">
        <f t="shared" si="343"/>
        <v>2.1675829648332336</v>
      </c>
      <c r="W269" s="202">
        <f t="shared" si="344"/>
        <v>350</v>
      </c>
      <c r="X269" s="453">
        <f t="shared" si="345"/>
        <v>239.28221229178243</v>
      </c>
      <c r="Z269" s="222">
        <f t="shared" si="346"/>
        <v>0.4322200392927309</v>
      </c>
      <c r="AA269" s="178">
        <f t="shared" si="347"/>
        <v>1.4818972775750774</v>
      </c>
      <c r="AB269" s="178">
        <f t="shared" si="372"/>
        <v>0.14945132989296789</v>
      </c>
      <c r="AC269" s="178"/>
      <c r="AD269" s="178">
        <f t="shared" si="349"/>
        <v>0.99428571428571422</v>
      </c>
      <c r="AE269" s="562">
        <f t="shared" si="373"/>
        <v>735.23583036068203</v>
      </c>
      <c r="AF269" s="545">
        <f t="shared" si="374"/>
        <v>0.10091999999999998</v>
      </c>
      <c r="AH269" s="178">
        <f t="shared" si="375"/>
        <v>0.50950155714648604</v>
      </c>
      <c r="AI269" s="178">
        <f t="shared" si="376"/>
        <v>0.63221169807635991</v>
      </c>
      <c r="AJ269" s="178">
        <f t="shared" si="377"/>
        <v>1.4534901467232295</v>
      </c>
      <c r="AL269" s="562">
        <f t="shared" si="378"/>
        <v>212.00000000000003</v>
      </c>
      <c r="AM269" s="471">
        <f t="shared" si="379"/>
        <v>239.28221229178243</v>
      </c>
      <c r="AO269">
        <f t="shared" si="357"/>
        <v>212.00000000000003</v>
      </c>
      <c r="AP269">
        <f t="shared" si="358"/>
        <v>239.28221229178243</v>
      </c>
      <c r="AR269" s="5">
        <f t="shared" si="382"/>
        <v>4.1791656405307425</v>
      </c>
      <c r="AS269" s="5">
        <f t="shared" si="361"/>
        <v>2.0115826756975088</v>
      </c>
      <c r="AT269" s="5">
        <f t="shared" si="362"/>
        <v>2.1675829648332336</v>
      </c>
      <c r="AU269" s="178">
        <f t="shared" si="363"/>
        <v>0.48133595284872305</v>
      </c>
      <c r="CD269" s="580">
        <f t="shared" si="380"/>
        <v>-50</v>
      </c>
    </row>
    <row r="270" spans="5:82" x14ac:dyDescent="0.2">
      <c r="E270" s="175">
        <v>54</v>
      </c>
      <c r="F270" s="222">
        <f t="shared" si="381"/>
        <v>0.21600000000000003</v>
      </c>
      <c r="G270" s="222">
        <f t="shared" si="364"/>
        <v>0.10800000000000001</v>
      </c>
      <c r="H270" s="222">
        <f t="shared" si="365"/>
        <v>2.5920000000000005</v>
      </c>
      <c r="I270" s="222">
        <f t="shared" si="366"/>
        <v>1.2960000000000003</v>
      </c>
      <c r="J270" s="558">
        <f t="shared" si="332"/>
        <v>26.4</v>
      </c>
      <c r="K270" s="453">
        <f t="shared" si="333"/>
        <v>24.5</v>
      </c>
      <c r="L270" s="453">
        <f t="shared" si="334"/>
        <v>50.9</v>
      </c>
      <c r="M270" s="453"/>
      <c r="N270" s="222">
        <f t="shared" si="335"/>
        <v>0.48133595284872299</v>
      </c>
      <c r="O270" s="177">
        <f t="shared" si="367"/>
        <v>5.8347544204322208</v>
      </c>
      <c r="P270" s="177">
        <f t="shared" si="368"/>
        <v>4.3760658153241652</v>
      </c>
      <c r="Q270" s="222">
        <f t="shared" si="338"/>
        <v>0.4862295350360184</v>
      </c>
      <c r="R270" s="222">
        <f t="shared" si="369"/>
        <v>0.4862295350360184</v>
      </c>
      <c r="S270" s="222">
        <f t="shared" si="370"/>
        <v>12</v>
      </c>
      <c r="T270" s="222">
        <f t="shared" si="371"/>
        <v>0.64414022068157417</v>
      </c>
      <c r="U270" s="222">
        <f t="shared" si="342"/>
        <v>2.0495370658050089</v>
      </c>
      <c r="V270" s="222">
        <f t="shared" si="343"/>
        <v>2.20848075662254</v>
      </c>
      <c r="W270" s="202">
        <f t="shared" si="344"/>
        <v>350</v>
      </c>
      <c r="X270" s="453">
        <f t="shared" si="345"/>
        <v>234.85106021230499</v>
      </c>
      <c r="Z270" s="222">
        <f t="shared" si="346"/>
        <v>0.4322200392927309</v>
      </c>
      <c r="AA270" s="178">
        <f t="shared" si="347"/>
        <v>1.4818972775750774</v>
      </c>
      <c r="AB270" s="178">
        <f t="shared" si="372"/>
        <v>0.14945132989296789</v>
      </c>
      <c r="AC270" s="178"/>
      <c r="AD270" s="178">
        <f t="shared" si="349"/>
        <v>0.99428571428571422</v>
      </c>
      <c r="AE270" s="562">
        <f t="shared" si="373"/>
        <v>749.10820451843074</v>
      </c>
      <c r="AF270" s="545">
        <f t="shared" si="374"/>
        <v>0.10091999999999998</v>
      </c>
      <c r="AH270" s="178">
        <f t="shared" si="375"/>
        <v>0.51428571428571435</v>
      </c>
      <c r="AI270" s="178">
        <f t="shared" si="376"/>
        <v>0.64414022068157417</v>
      </c>
      <c r="AJ270" s="178">
        <f t="shared" si="377"/>
        <v>1.4623260893937586</v>
      </c>
      <c r="AL270" s="562">
        <f t="shared" si="378"/>
        <v>216.00000000000003</v>
      </c>
      <c r="AM270" s="471">
        <f t="shared" si="379"/>
        <v>234.85106021230499</v>
      </c>
      <c r="AO270">
        <f t="shared" si="357"/>
        <v>216.00000000000003</v>
      </c>
      <c r="AP270">
        <f t="shared" si="358"/>
        <v>234.85106021230499</v>
      </c>
      <c r="AR270" s="5">
        <f t="shared" si="382"/>
        <v>4.2580178224275489</v>
      </c>
      <c r="AS270" s="5">
        <f t="shared" si="361"/>
        <v>2.0495370658050089</v>
      </c>
      <c r="AT270" s="5">
        <f t="shared" si="362"/>
        <v>2.20848075662254</v>
      </c>
      <c r="AU270" s="178">
        <f t="shared" si="363"/>
        <v>0.48133595284872299</v>
      </c>
      <c r="CD270" s="580">
        <f t="shared" si="380"/>
        <v>-50</v>
      </c>
    </row>
    <row r="271" spans="5:82" x14ac:dyDescent="0.2">
      <c r="E271" s="175">
        <v>55</v>
      </c>
      <c r="F271" s="222">
        <f t="shared" si="381"/>
        <v>0.22000000000000003</v>
      </c>
      <c r="G271" s="222">
        <f t="shared" si="364"/>
        <v>0.11000000000000001</v>
      </c>
      <c r="H271" s="222">
        <f t="shared" si="365"/>
        <v>2.6400000000000006</v>
      </c>
      <c r="I271" s="222">
        <f t="shared" si="366"/>
        <v>1.3200000000000003</v>
      </c>
      <c r="J271" s="558">
        <f t="shared" si="332"/>
        <v>26.4</v>
      </c>
      <c r="K271" s="453">
        <f t="shared" si="333"/>
        <v>24.5</v>
      </c>
      <c r="L271" s="453">
        <f t="shared" si="334"/>
        <v>50.9</v>
      </c>
      <c r="M271" s="453"/>
      <c r="N271" s="222">
        <f t="shared" si="335"/>
        <v>0.48133595284872299</v>
      </c>
      <c r="O271" s="177">
        <f t="shared" si="367"/>
        <v>5.8347544204322208</v>
      </c>
      <c r="P271" s="177">
        <f t="shared" si="368"/>
        <v>4.3760658153241652</v>
      </c>
      <c r="Q271" s="222">
        <f t="shared" si="338"/>
        <v>0.4862295350360184</v>
      </c>
      <c r="R271" s="222">
        <f t="shared" si="369"/>
        <v>0.4862295350360184</v>
      </c>
      <c r="S271" s="222">
        <f t="shared" si="370"/>
        <v>12</v>
      </c>
      <c r="T271" s="222">
        <f t="shared" si="371"/>
        <v>0.65606874328678855</v>
      </c>
      <c r="U271" s="222">
        <f t="shared" si="342"/>
        <v>2.0874914559125091</v>
      </c>
      <c r="V271" s="222">
        <f t="shared" si="343"/>
        <v>2.2493785484118467</v>
      </c>
      <c r="W271" s="202">
        <f t="shared" si="344"/>
        <v>350</v>
      </c>
      <c r="X271" s="453">
        <f t="shared" si="345"/>
        <v>230.5810409357176</v>
      </c>
      <c r="Z271" s="222">
        <f t="shared" si="346"/>
        <v>0.4322200392927309</v>
      </c>
      <c r="AA271" s="178">
        <f t="shared" si="347"/>
        <v>1.4818972775750774</v>
      </c>
      <c r="AB271" s="178">
        <f t="shared" si="372"/>
        <v>0.14945132989296789</v>
      </c>
      <c r="AC271" s="178"/>
      <c r="AD271" s="178">
        <f t="shared" si="349"/>
        <v>0.99428571428571422</v>
      </c>
      <c r="AE271" s="562">
        <f t="shared" si="373"/>
        <v>762.98057867617945</v>
      </c>
      <c r="AF271" s="545">
        <f t="shared" si="374"/>
        <v>0.10091999999999998</v>
      </c>
      <c r="AH271" s="178">
        <f t="shared" si="375"/>
        <v>0.51902577498814151</v>
      </c>
      <c r="AI271" s="178">
        <f t="shared" si="376"/>
        <v>0.65606874328678855</v>
      </c>
      <c r="AJ271" s="178">
        <f t="shared" si="377"/>
        <v>1.4711620320642878</v>
      </c>
      <c r="AL271" s="562">
        <f t="shared" si="378"/>
        <v>220.00000000000003</v>
      </c>
      <c r="AM271" s="471">
        <f t="shared" si="379"/>
        <v>230.5810409357176</v>
      </c>
      <c r="AO271">
        <f t="shared" si="357"/>
        <v>220.00000000000003</v>
      </c>
      <c r="AP271">
        <f t="shared" si="358"/>
        <v>230.5810409357176</v>
      </c>
      <c r="AR271" s="5">
        <f t="shared" si="382"/>
        <v>4.3368700043243553</v>
      </c>
      <c r="AS271" s="5">
        <f t="shared" si="361"/>
        <v>2.0874914559125091</v>
      </c>
      <c r="AT271" s="5">
        <f t="shared" si="362"/>
        <v>2.2493785484118463</v>
      </c>
      <c r="AU271" s="178">
        <f t="shared" si="363"/>
        <v>0.48133595284872299</v>
      </c>
      <c r="CD271" s="580">
        <f t="shared" si="380"/>
        <v>-50</v>
      </c>
    </row>
    <row r="272" spans="5:82" x14ac:dyDescent="0.2">
      <c r="E272" s="175">
        <v>56</v>
      </c>
      <c r="F272" s="222">
        <f t="shared" si="381"/>
        <v>0.22400000000000003</v>
      </c>
      <c r="G272" s="222">
        <f t="shared" si="364"/>
        <v>0.11200000000000002</v>
      </c>
      <c r="H272" s="222">
        <f t="shared" si="365"/>
        <v>2.6880000000000006</v>
      </c>
      <c r="I272" s="222">
        <f t="shared" si="366"/>
        <v>1.3440000000000003</v>
      </c>
      <c r="J272" s="558">
        <f t="shared" si="332"/>
        <v>26.4</v>
      </c>
      <c r="K272" s="453">
        <f t="shared" si="333"/>
        <v>24.5</v>
      </c>
      <c r="L272" s="453">
        <f t="shared" si="334"/>
        <v>50.9</v>
      </c>
      <c r="M272" s="453"/>
      <c r="N272" s="222">
        <f t="shared" si="335"/>
        <v>0.48133595284872299</v>
      </c>
      <c r="O272" s="177">
        <f t="shared" si="367"/>
        <v>5.8347544204322208</v>
      </c>
      <c r="P272" s="177">
        <f t="shared" si="368"/>
        <v>4.3760658153241652</v>
      </c>
      <c r="Q272" s="222">
        <f t="shared" si="338"/>
        <v>0.4862295350360184</v>
      </c>
      <c r="R272" s="222">
        <f t="shared" si="369"/>
        <v>0.4862295350360184</v>
      </c>
      <c r="S272" s="222">
        <f t="shared" si="370"/>
        <v>12</v>
      </c>
      <c r="T272" s="222">
        <f t="shared" si="371"/>
        <v>0.66799726589200292</v>
      </c>
      <c r="U272" s="222">
        <f t="shared" si="342"/>
        <v>2.1254458460200096</v>
      </c>
      <c r="V272" s="222">
        <f t="shared" si="343"/>
        <v>2.2902763402011526</v>
      </c>
      <c r="W272" s="202">
        <f t="shared" si="344"/>
        <v>350</v>
      </c>
      <c r="X272" s="453">
        <f t="shared" si="345"/>
        <v>226.46352234757981</v>
      </c>
      <c r="Z272" s="222">
        <f t="shared" si="346"/>
        <v>0.4322200392927309</v>
      </c>
      <c r="AA272" s="178">
        <f t="shared" si="347"/>
        <v>1.4818972775750774</v>
      </c>
      <c r="AB272" s="178">
        <f t="shared" si="372"/>
        <v>0.14945132989296789</v>
      </c>
      <c r="AC272" s="178"/>
      <c r="AD272" s="178">
        <f t="shared" si="349"/>
        <v>0.99428571428571422</v>
      </c>
      <c r="AE272" s="562">
        <f t="shared" si="373"/>
        <v>776.85295283392816</v>
      </c>
      <c r="AF272" s="545">
        <f t="shared" si="374"/>
        <v>0.10091999999999998</v>
      </c>
      <c r="AH272" s="178">
        <f t="shared" si="375"/>
        <v>0.5237229365663818</v>
      </c>
      <c r="AI272" s="178">
        <f t="shared" si="376"/>
        <v>0.66799726589200292</v>
      </c>
      <c r="AJ272" s="178">
        <f t="shared" si="377"/>
        <v>1.4799979747348169</v>
      </c>
      <c r="AL272" s="562">
        <f t="shared" si="378"/>
        <v>224.00000000000003</v>
      </c>
      <c r="AM272" s="471">
        <f t="shared" si="379"/>
        <v>226.46352234757981</v>
      </c>
      <c r="AO272">
        <f t="shared" si="357"/>
        <v>224.00000000000003</v>
      </c>
      <c r="AP272">
        <f t="shared" si="358"/>
        <v>226.46352234757981</v>
      </c>
      <c r="AR272" s="5">
        <f t="shared" si="382"/>
        <v>4.4157221862211609</v>
      </c>
      <c r="AS272" s="5">
        <f t="shared" si="361"/>
        <v>2.1254458460200096</v>
      </c>
      <c r="AT272" s="5">
        <f t="shared" si="362"/>
        <v>2.2902763402011512</v>
      </c>
      <c r="AU272" s="178">
        <f t="shared" si="363"/>
        <v>0.48133595284872321</v>
      </c>
      <c r="CD272" s="580">
        <f t="shared" si="380"/>
        <v>-50</v>
      </c>
    </row>
    <row r="273" spans="5:82" x14ac:dyDescent="0.2">
      <c r="E273" s="175">
        <v>57</v>
      </c>
      <c r="F273" s="222">
        <f t="shared" si="381"/>
        <v>0.22799999999999998</v>
      </c>
      <c r="G273" s="222">
        <f t="shared" si="364"/>
        <v>0.11399999999999999</v>
      </c>
      <c r="H273" s="222">
        <f t="shared" si="365"/>
        <v>2.7359999999999998</v>
      </c>
      <c r="I273" s="222">
        <f t="shared" si="366"/>
        <v>1.3679999999999999</v>
      </c>
      <c r="J273" s="558">
        <f t="shared" si="332"/>
        <v>26.4</v>
      </c>
      <c r="K273" s="453">
        <f t="shared" si="333"/>
        <v>24.5</v>
      </c>
      <c r="L273" s="453">
        <f t="shared" si="334"/>
        <v>50.9</v>
      </c>
      <c r="M273" s="453"/>
      <c r="N273" s="222">
        <f t="shared" si="335"/>
        <v>0.48133595284872299</v>
      </c>
      <c r="O273" s="177">
        <f t="shared" si="367"/>
        <v>5.8347544204322208</v>
      </c>
      <c r="P273" s="177">
        <f t="shared" si="368"/>
        <v>4.3760658153241652</v>
      </c>
      <c r="Q273" s="222">
        <f t="shared" si="338"/>
        <v>0.4862295350360184</v>
      </c>
      <c r="R273" s="222">
        <f t="shared" si="369"/>
        <v>0.4862295350360184</v>
      </c>
      <c r="S273" s="222">
        <f t="shared" si="370"/>
        <v>12</v>
      </c>
      <c r="T273" s="222">
        <f t="shared" si="371"/>
        <v>0.67992578849721697</v>
      </c>
      <c r="U273" s="222">
        <f t="shared" si="342"/>
        <v>2.1634002361275084</v>
      </c>
      <c r="V273" s="222">
        <f t="shared" si="343"/>
        <v>2.331174131990458</v>
      </c>
      <c r="W273" s="202">
        <f t="shared" si="344"/>
        <v>350</v>
      </c>
      <c r="X273" s="453">
        <f t="shared" si="345"/>
        <v>222.49047809586799</v>
      </c>
      <c r="Z273" s="222">
        <f t="shared" si="346"/>
        <v>0.4322200392927309</v>
      </c>
      <c r="AA273" s="178">
        <f t="shared" si="347"/>
        <v>1.4818972775750774</v>
      </c>
      <c r="AB273" s="178">
        <f t="shared" si="372"/>
        <v>0.14945132989296789</v>
      </c>
      <c r="AC273" s="178"/>
      <c r="AD273" s="178">
        <f t="shared" si="349"/>
        <v>0.99428571428571422</v>
      </c>
      <c r="AE273" s="562">
        <f t="shared" si="373"/>
        <v>790.72532699167675</v>
      </c>
      <c r="AF273" s="545">
        <f t="shared" si="374"/>
        <v>0.10091999999999998</v>
      </c>
      <c r="AH273" s="178">
        <f t="shared" si="375"/>
        <v>0.52837834311162657</v>
      </c>
      <c r="AI273" s="178">
        <f t="shared" si="376"/>
        <v>0.67992578849721697</v>
      </c>
      <c r="AJ273" s="178">
        <f t="shared" si="377"/>
        <v>1.488833917405346</v>
      </c>
      <c r="AL273" s="562">
        <f t="shared" si="378"/>
        <v>227.99999999999997</v>
      </c>
      <c r="AM273" s="471">
        <f t="shared" si="379"/>
        <v>222.49047809586799</v>
      </c>
      <c r="AO273">
        <f t="shared" si="357"/>
        <v>227.99999999999997</v>
      </c>
      <c r="AP273">
        <f t="shared" si="358"/>
        <v>222.49047809586799</v>
      </c>
      <c r="AR273" s="5">
        <f t="shared" si="382"/>
        <v>4.4945743681179664</v>
      </c>
      <c r="AS273" s="5">
        <f t="shared" si="361"/>
        <v>2.1634002361275084</v>
      </c>
      <c r="AT273" s="5">
        <f t="shared" si="362"/>
        <v>2.331174131990458</v>
      </c>
      <c r="AU273" s="178">
        <f t="shared" si="363"/>
        <v>0.48133595284872299</v>
      </c>
      <c r="CD273" s="580">
        <f t="shared" si="380"/>
        <v>-50</v>
      </c>
    </row>
    <row r="274" spans="5:82" x14ac:dyDescent="0.2">
      <c r="E274" s="175">
        <v>58</v>
      </c>
      <c r="F274" s="222">
        <f t="shared" si="381"/>
        <v>0.23199999999999998</v>
      </c>
      <c r="G274" s="222">
        <f t="shared" si="364"/>
        <v>0.11599999999999999</v>
      </c>
      <c r="H274" s="222">
        <f t="shared" si="365"/>
        <v>2.7839999999999998</v>
      </c>
      <c r="I274" s="222">
        <f t="shared" si="366"/>
        <v>1.3919999999999999</v>
      </c>
      <c r="J274" s="558">
        <f t="shared" si="332"/>
        <v>26.4</v>
      </c>
      <c r="K274" s="453">
        <f t="shared" si="333"/>
        <v>24.5</v>
      </c>
      <c r="L274" s="453">
        <f t="shared" si="334"/>
        <v>50.9</v>
      </c>
      <c r="M274" s="453"/>
      <c r="N274" s="222">
        <f t="shared" si="335"/>
        <v>0.48133595284872299</v>
      </c>
      <c r="O274" s="177">
        <f t="shared" si="367"/>
        <v>5.8347544204322208</v>
      </c>
      <c r="P274" s="177">
        <f t="shared" si="368"/>
        <v>4.3760658153241652</v>
      </c>
      <c r="Q274" s="222">
        <f t="shared" si="338"/>
        <v>0.4862295350360184</v>
      </c>
      <c r="R274" s="222">
        <f t="shared" si="369"/>
        <v>0.4862295350360184</v>
      </c>
      <c r="S274" s="222">
        <f t="shared" si="370"/>
        <v>12</v>
      </c>
      <c r="T274" s="222">
        <f t="shared" si="371"/>
        <v>0.69185431110243145</v>
      </c>
      <c r="U274" s="222">
        <f t="shared" si="342"/>
        <v>2.201354626235009</v>
      </c>
      <c r="V274" s="222">
        <f t="shared" si="343"/>
        <v>2.3720719237797652</v>
      </c>
      <c r="W274" s="202">
        <f t="shared" si="344"/>
        <v>350</v>
      </c>
      <c r="X274" s="453">
        <f t="shared" si="345"/>
        <v>218.65443537007707</v>
      </c>
      <c r="Z274" s="222">
        <f t="shared" si="346"/>
        <v>0.4322200392927309</v>
      </c>
      <c r="AA274" s="178">
        <f t="shared" si="347"/>
        <v>1.4818972775750774</v>
      </c>
      <c r="AB274" s="178">
        <f t="shared" si="372"/>
        <v>0.14945132989296789</v>
      </c>
      <c r="AC274" s="178"/>
      <c r="AD274" s="178">
        <f t="shared" si="349"/>
        <v>0.99428571428571422</v>
      </c>
      <c r="AE274" s="562">
        <f t="shared" si="373"/>
        <v>804.59770114942546</v>
      </c>
      <c r="AF274" s="545">
        <f t="shared" si="374"/>
        <v>0.10091999999999998</v>
      </c>
      <c r="AH274" s="178">
        <f t="shared" si="375"/>
        <v>0.53299308874793228</v>
      </c>
      <c r="AI274" s="178">
        <f t="shared" si="376"/>
        <v>0.69185431110243145</v>
      </c>
      <c r="AJ274" s="178">
        <f t="shared" si="377"/>
        <v>1.4976698600758751</v>
      </c>
      <c r="AL274" s="562">
        <f t="shared" si="378"/>
        <v>231.99999999999997</v>
      </c>
      <c r="AM274" s="471">
        <f t="shared" si="379"/>
        <v>218.65443537007707</v>
      </c>
      <c r="AO274">
        <f t="shared" si="357"/>
        <v>231.99999999999997</v>
      </c>
      <c r="AP274">
        <f t="shared" si="358"/>
        <v>218.65443537007707</v>
      </c>
      <c r="AR274" s="5">
        <f t="shared" si="382"/>
        <v>4.5734265500147746</v>
      </c>
      <c r="AS274" s="5">
        <f t="shared" si="361"/>
        <v>2.201354626235009</v>
      </c>
      <c r="AT274" s="5">
        <f t="shared" si="362"/>
        <v>2.3720719237797656</v>
      </c>
      <c r="AU274" s="178">
        <f t="shared" si="363"/>
        <v>0.48133595284872288</v>
      </c>
      <c r="CD274" s="580">
        <f t="shared" si="380"/>
        <v>-50</v>
      </c>
    </row>
    <row r="275" spans="5:82" x14ac:dyDescent="0.2">
      <c r="E275" s="175">
        <v>59</v>
      </c>
      <c r="F275" s="222">
        <f t="shared" si="381"/>
        <v>0.23599999999999999</v>
      </c>
      <c r="G275" s="222">
        <f t="shared" si="364"/>
        <v>0.11799999999999999</v>
      </c>
      <c r="H275" s="222">
        <f t="shared" si="365"/>
        <v>2.8319999999999999</v>
      </c>
      <c r="I275" s="222">
        <f t="shared" si="366"/>
        <v>1.4159999999999999</v>
      </c>
      <c r="J275" s="558">
        <f t="shared" si="332"/>
        <v>26.4</v>
      </c>
      <c r="K275" s="453">
        <f t="shared" si="333"/>
        <v>24.5</v>
      </c>
      <c r="L275" s="453">
        <f t="shared" si="334"/>
        <v>50.9</v>
      </c>
      <c r="M275" s="453"/>
      <c r="N275" s="222">
        <f t="shared" si="335"/>
        <v>0.48133595284872299</v>
      </c>
      <c r="O275" s="177">
        <f t="shared" si="367"/>
        <v>5.8347544204322208</v>
      </c>
      <c r="P275" s="177">
        <f t="shared" si="368"/>
        <v>4.3760658153241652</v>
      </c>
      <c r="Q275" s="222">
        <f t="shared" si="338"/>
        <v>0.4862295350360184</v>
      </c>
      <c r="R275" s="222">
        <f t="shared" si="369"/>
        <v>0.4862295350360184</v>
      </c>
      <c r="S275" s="222">
        <f t="shared" si="370"/>
        <v>12</v>
      </c>
      <c r="T275" s="222">
        <f t="shared" si="371"/>
        <v>0.70378283370764561</v>
      </c>
      <c r="U275" s="222">
        <f t="shared" si="342"/>
        <v>2.2393090163425087</v>
      </c>
      <c r="V275" s="222">
        <f t="shared" si="343"/>
        <v>2.4129697155690706</v>
      </c>
      <c r="W275" s="202">
        <f t="shared" si="344"/>
        <v>350</v>
      </c>
      <c r="X275" s="453">
        <f t="shared" si="345"/>
        <v>214.94842799092328</v>
      </c>
      <c r="Z275" s="222">
        <f t="shared" si="346"/>
        <v>0.4322200392927309</v>
      </c>
      <c r="AA275" s="178">
        <f t="shared" si="347"/>
        <v>1.4818972775750774</v>
      </c>
      <c r="AB275" s="178">
        <f t="shared" si="372"/>
        <v>0.14945132989296789</v>
      </c>
      <c r="AC275" s="178"/>
      <c r="AD275" s="178">
        <f t="shared" si="349"/>
        <v>0.99428571428571422</v>
      </c>
      <c r="AE275" s="562">
        <f t="shared" si="373"/>
        <v>818.47007530717417</v>
      </c>
      <c r="AF275" s="545">
        <f t="shared" si="374"/>
        <v>0.10091999999999998</v>
      </c>
      <c r="AH275" s="178">
        <f t="shared" si="375"/>
        <v>0.53756822063505083</v>
      </c>
      <c r="AI275" s="178">
        <f t="shared" si="376"/>
        <v>0.70378283370764561</v>
      </c>
      <c r="AJ275" s="178">
        <f t="shared" si="377"/>
        <v>1.5065058027464042</v>
      </c>
      <c r="AL275" s="562">
        <f t="shared" si="378"/>
        <v>236</v>
      </c>
      <c r="AM275" s="471">
        <f t="shared" si="379"/>
        <v>214.94842799092328</v>
      </c>
      <c r="AO275">
        <f t="shared" si="357"/>
        <v>236</v>
      </c>
      <c r="AP275">
        <f t="shared" si="358"/>
        <v>214.94842799092328</v>
      </c>
      <c r="AR275" s="5">
        <f t="shared" si="382"/>
        <v>4.6522787319115793</v>
      </c>
      <c r="AS275" s="5">
        <f t="shared" si="361"/>
        <v>2.2393090163425087</v>
      </c>
      <c r="AT275" s="5">
        <f t="shared" si="362"/>
        <v>2.4129697155690706</v>
      </c>
      <c r="AU275" s="178">
        <f t="shared" si="363"/>
        <v>0.48133595284872299</v>
      </c>
      <c r="CD275" s="580">
        <f t="shared" si="380"/>
        <v>-50</v>
      </c>
    </row>
    <row r="276" spans="5:82" x14ac:dyDescent="0.2">
      <c r="E276" s="175">
        <v>60</v>
      </c>
      <c r="F276" s="222">
        <f t="shared" si="381"/>
        <v>0.24</v>
      </c>
      <c r="G276" s="222">
        <f t="shared" si="364"/>
        <v>0.12</v>
      </c>
      <c r="H276" s="222">
        <f t="shared" si="365"/>
        <v>2.88</v>
      </c>
      <c r="I276" s="222">
        <f t="shared" si="366"/>
        <v>1.44</v>
      </c>
      <c r="J276" s="558">
        <f t="shared" si="332"/>
        <v>26.4</v>
      </c>
      <c r="K276" s="453">
        <f t="shared" si="333"/>
        <v>24.5</v>
      </c>
      <c r="L276" s="453">
        <f t="shared" si="334"/>
        <v>50.9</v>
      </c>
      <c r="M276" s="453"/>
      <c r="N276" s="222">
        <f t="shared" si="335"/>
        <v>0.48133595284872299</v>
      </c>
      <c r="O276" s="177">
        <f t="shared" si="367"/>
        <v>5.8347544204322208</v>
      </c>
      <c r="P276" s="177">
        <f t="shared" si="368"/>
        <v>4.3760658153241652</v>
      </c>
      <c r="Q276" s="222">
        <f t="shared" si="338"/>
        <v>0.4862295350360184</v>
      </c>
      <c r="R276" s="222">
        <f t="shared" si="369"/>
        <v>0.4862295350360184</v>
      </c>
      <c r="S276" s="222">
        <f t="shared" si="370"/>
        <v>12</v>
      </c>
      <c r="T276" s="222">
        <f t="shared" si="371"/>
        <v>0.71571135631286009</v>
      </c>
      <c r="U276" s="222">
        <f t="shared" si="342"/>
        <v>2.2772634064500092</v>
      </c>
      <c r="V276" s="222">
        <f t="shared" si="343"/>
        <v>2.4538675073583773</v>
      </c>
      <c r="W276" s="202">
        <f t="shared" si="344"/>
        <v>350</v>
      </c>
      <c r="X276" s="453">
        <f t="shared" si="345"/>
        <v>211.36595419107454</v>
      </c>
      <c r="Z276" s="222">
        <f t="shared" si="346"/>
        <v>0.4322200392927309</v>
      </c>
      <c r="AA276" s="178">
        <f t="shared" si="347"/>
        <v>1.4818972775750774</v>
      </c>
      <c r="AB276" s="178">
        <f t="shared" si="372"/>
        <v>0.14945132989296789</v>
      </c>
      <c r="AC276" s="178"/>
      <c r="AD276" s="178">
        <f t="shared" si="349"/>
        <v>0.99428571428571422</v>
      </c>
      <c r="AE276" s="562">
        <f t="shared" si="373"/>
        <v>832.34244946492288</v>
      </c>
      <c r="AF276" s="545">
        <f t="shared" si="374"/>
        <v>0.10091999999999998</v>
      </c>
      <c r="AH276" s="178">
        <f t="shared" si="375"/>
        <v>0.54210474174315082</v>
      </c>
      <c r="AI276" s="178">
        <f t="shared" si="376"/>
        <v>0.71571135631286009</v>
      </c>
      <c r="AJ276" s="178">
        <f t="shared" si="377"/>
        <v>1.5153417454169333</v>
      </c>
      <c r="AL276" s="562">
        <f t="shared" si="378"/>
        <v>240</v>
      </c>
      <c r="AM276" s="471">
        <f t="shared" si="379"/>
        <v>211.36595419107454</v>
      </c>
      <c r="AO276">
        <f t="shared" si="357"/>
        <v>240</v>
      </c>
      <c r="AP276">
        <f t="shared" si="358"/>
        <v>211.36595419107454</v>
      </c>
      <c r="AR276" s="5">
        <f t="shared" si="382"/>
        <v>4.7311309138083866</v>
      </c>
      <c r="AS276" s="5">
        <f t="shared" si="361"/>
        <v>2.2772634064500092</v>
      </c>
      <c r="AT276" s="5">
        <f t="shared" si="362"/>
        <v>2.4538675073583773</v>
      </c>
      <c r="AU276" s="178">
        <f t="shared" si="363"/>
        <v>0.48133595284872299</v>
      </c>
      <c r="CD276" s="580">
        <f t="shared" si="380"/>
        <v>-50</v>
      </c>
    </row>
    <row r="277" spans="5:82" x14ac:dyDescent="0.2">
      <c r="E277" s="175">
        <v>61</v>
      </c>
      <c r="F277" s="222">
        <f t="shared" si="381"/>
        <v>0.24399999999999999</v>
      </c>
      <c r="G277" s="222">
        <f t="shared" si="364"/>
        <v>0.122</v>
      </c>
      <c r="H277" s="222">
        <f t="shared" si="365"/>
        <v>2.9279999999999999</v>
      </c>
      <c r="I277" s="222">
        <f t="shared" si="366"/>
        <v>1.464</v>
      </c>
      <c r="J277" s="558">
        <f t="shared" si="332"/>
        <v>26.4</v>
      </c>
      <c r="K277" s="453">
        <f t="shared" si="333"/>
        <v>24.5</v>
      </c>
      <c r="L277" s="453">
        <f t="shared" si="334"/>
        <v>50.9</v>
      </c>
      <c r="M277" s="453"/>
      <c r="N277" s="222">
        <f t="shared" si="335"/>
        <v>0.48133595284872299</v>
      </c>
      <c r="O277" s="177">
        <f t="shared" si="367"/>
        <v>5.8347544204322208</v>
      </c>
      <c r="P277" s="177">
        <f t="shared" si="368"/>
        <v>4.3760658153241652</v>
      </c>
      <c r="Q277" s="222">
        <f t="shared" si="338"/>
        <v>0.4862295350360184</v>
      </c>
      <c r="R277" s="222">
        <f t="shared" si="369"/>
        <v>0.4862295350360184</v>
      </c>
      <c r="S277" s="222">
        <f t="shared" si="370"/>
        <v>12</v>
      </c>
      <c r="T277" s="222">
        <f t="shared" si="371"/>
        <v>0.72763987891807436</v>
      </c>
      <c r="U277" s="222">
        <f t="shared" si="342"/>
        <v>2.3152177965575094</v>
      </c>
      <c r="V277" s="222">
        <f t="shared" si="343"/>
        <v>2.4947652991476832</v>
      </c>
      <c r="W277" s="202">
        <f t="shared" si="344"/>
        <v>350</v>
      </c>
      <c r="X277" s="453">
        <f t="shared" si="345"/>
        <v>207.90093854859794</v>
      </c>
      <c r="Z277" s="222">
        <f t="shared" si="346"/>
        <v>0.4322200392927309</v>
      </c>
      <c r="AA277" s="178">
        <f t="shared" si="347"/>
        <v>1.4818972775750774</v>
      </c>
      <c r="AB277" s="178">
        <f t="shared" si="372"/>
        <v>0.14945132989296789</v>
      </c>
      <c r="AC277" s="178"/>
      <c r="AD277" s="178">
        <f t="shared" si="349"/>
        <v>0.99428571428571422</v>
      </c>
      <c r="AE277" s="562">
        <f t="shared" si="373"/>
        <v>846.2148236226717</v>
      </c>
      <c r="AF277" s="545">
        <f t="shared" si="374"/>
        <v>0.10091999999999998</v>
      </c>
      <c r="AH277" s="178">
        <f t="shared" si="375"/>
        <v>0.54660361342025687</v>
      </c>
      <c r="AI277" s="178">
        <f t="shared" si="376"/>
        <v>0.72763987891807436</v>
      </c>
      <c r="AJ277" s="178">
        <f t="shared" si="377"/>
        <v>1.5241776880874625</v>
      </c>
      <c r="AL277" s="562">
        <f t="shared" si="378"/>
        <v>244</v>
      </c>
      <c r="AM277" s="471">
        <f t="shared" si="379"/>
        <v>207.90093854859794</v>
      </c>
      <c r="AO277">
        <f t="shared" si="357"/>
        <v>244</v>
      </c>
      <c r="AP277">
        <f t="shared" si="358"/>
        <v>207.90093854859794</v>
      </c>
      <c r="AR277" s="5">
        <f t="shared" si="382"/>
        <v>4.8099830957051921</v>
      </c>
      <c r="AS277" s="5">
        <f t="shared" si="361"/>
        <v>2.3152177965575094</v>
      </c>
      <c r="AT277" s="5">
        <f t="shared" si="362"/>
        <v>2.4947652991476827</v>
      </c>
      <c r="AU277" s="178">
        <f t="shared" si="363"/>
        <v>0.48133595284872305</v>
      </c>
      <c r="CD277" s="580">
        <f t="shared" si="380"/>
        <v>-50</v>
      </c>
    </row>
    <row r="278" spans="5:82" x14ac:dyDescent="0.2">
      <c r="E278" s="175">
        <v>62</v>
      </c>
      <c r="F278" s="222">
        <f t="shared" si="381"/>
        <v>0.248</v>
      </c>
      <c r="G278" s="222">
        <f t="shared" si="364"/>
        <v>0.124</v>
      </c>
      <c r="H278" s="222">
        <f t="shared" si="365"/>
        <v>2.976</v>
      </c>
      <c r="I278" s="222">
        <f t="shared" si="366"/>
        <v>1.488</v>
      </c>
      <c r="J278" s="558">
        <f t="shared" si="332"/>
        <v>26.4</v>
      </c>
      <c r="K278" s="453">
        <f t="shared" si="333"/>
        <v>24.5</v>
      </c>
      <c r="L278" s="453">
        <f t="shared" si="334"/>
        <v>50.9</v>
      </c>
      <c r="M278" s="453"/>
      <c r="N278" s="222">
        <f t="shared" si="335"/>
        <v>0.48133595284872299</v>
      </c>
      <c r="O278" s="177">
        <f t="shared" si="367"/>
        <v>5.8347544204322208</v>
      </c>
      <c r="P278" s="177">
        <f t="shared" si="368"/>
        <v>4.3760658153241652</v>
      </c>
      <c r="Q278" s="222">
        <f t="shared" si="338"/>
        <v>0.4862295350360184</v>
      </c>
      <c r="R278" s="222">
        <f t="shared" si="369"/>
        <v>0.4862295350360184</v>
      </c>
      <c r="S278" s="222">
        <f t="shared" si="370"/>
        <v>12</v>
      </c>
      <c r="T278" s="222">
        <f t="shared" si="371"/>
        <v>0.73956840152328884</v>
      </c>
      <c r="U278" s="222">
        <f t="shared" si="342"/>
        <v>2.3531721866650099</v>
      </c>
      <c r="V278" s="222">
        <f t="shared" si="343"/>
        <v>2.5356630909369904</v>
      </c>
      <c r="W278" s="202">
        <f t="shared" si="344"/>
        <v>350</v>
      </c>
      <c r="X278" s="453">
        <f t="shared" si="345"/>
        <v>204.54769760426564</v>
      </c>
      <c r="Z278" s="222">
        <f t="shared" si="346"/>
        <v>0.4322200392927309</v>
      </c>
      <c r="AA278" s="178">
        <f t="shared" si="347"/>
        <v>1.4818972775750774</v>
      </c>
      <c r="AB278" s="178">
        <f t="shared" si="372"/>
        <v>0.14945132989296789</v>
      </c>
      <c r="AC278" s="178"/>
      <c r="AD278" s="178">
        <f t="shared" si="349"/>
        <v>0.99428571428571422</v>
      </c>
      <c r="AE278" s="562">
        <f t="shared" si="373"/>
        <v>860.0871977804203</v>
      </c>
      <c r="AF278" s="545">
        <f t="shared" si="374"/>
        <v>0.10091999999999998</v>
      </c>
      <c r="AH278" s="178">
        <f t="shared" si="375"/>
        <v>0.55106575777102607</v>
      </c>
      <c r="AI278" s="178">
        <f t="shared" si="376"/>
        <v>0.73956840152328884</v>
      </c>
      <c r="AJ278" s="178">
        <f t="shared" si="377"/>
        <v>1.5330136307579916</v>
      </c>
      <c r="AL278" s="562">
        <f t="shared" si="378"/>
        <v>248</v>
      </c>
      <c r="AM278" s="471">
        <f t="shared" si="379"/>
        <v>204.54769760426564</v>
      </c>
      <c r="AO278">
        <f t="shared" si="357"/>
        <v>248</v>
      </c>
      <c r="AP278">
        <f t="shared" si="358"/>
        <v>204.54769760426564</v>
      </c>
      <c r="AR278" s="5">
        <f t="shared" si="382"/>
        <v>4.8888352776020003</v>
      </c>
      <c r="AS278" s="5">
        <f t="shared" si="361"/>
        <v>2.3531721866650099</v>
      </c>
      <c r="AT278" s="5">
        <f t="shared" si="362"/>
        <v>2.5356630909369904</v>
      </c>
      <c r="AU278" s="178">
        <f t="shared" si="363"/>
        <v>0.48133595284872299</v>
      </c>
      <c r="CD278" s="580">
        <f t="shared" si="380"/>
        <v>-50</v>
      </c>
    </row>
    <row r="279" spans="5:82" x14ac:dyDescent="0.2">
      <c r="E279" s="175">
        <v>63</v>
      </c>
      <c r="F279" s="222">
        <f t="shared" si="381"/>
        <v>0.252</v>
      </c>
      <c r="G279" s="222">
        <f t="shared" si="364"/>
        <v>0.126</v>
      </c>
      <c r="H279" s="222">
        <f t="shared" si="365"/>
        <v>3.024</v>
      </c>
      <c r="I279" s="222">
        <f t="shared" si="366"/>
        <v>1.512</v>
      </c>
      <c r="J279" s="558">
        <f t="shared" si="332"/>
        <v>26.4</v>
      </c>
      <c r="K279" s="453">
        <f t="shared" si="333"/>
        <v>24.5</v>
      </c>
      <c r="L279" s="453">
        <f t="shared" si="334"/>
        <v>50.9</v>
      </c>
      <c r="M279" s="453"/>
      <c r="N279" s="222">
        <f t="shared" si="335"/>
        <v>0.48133595284872299</v>
      </c>
      <c r="O279" s="177">
        <f t="shared" si="367"/>
        <v>5.8347544204322208</v>
      </c>
      <c r="P279" s="177">
        <f t="shared" si="368"/>
        <v>4.3760658153241652</v>
      </c>
      <c r="Q279" s="222">
        <f t="shared" si="338"/>
        <v>0.4862295350360184</v>
      </c>
      <c r="R279" s="222">
        <f t="shared" si="369"/>
        <v>0.4862295350360184</v>
      </c>
      <c r="S279" s="222">
        <f t="shared" si="370"/>
        <v>12</v>
      </c>
      <c r="T279" s="222">
        <f t="shared" si="371"/>
        <v>0.751496924128503</v>
      </c>
      <c r="U279" s="222">
        <f t="shared" si="342"/>
        <v>2.3911265767725101</v>
      </c>
      <c r="V279" s="222">
        <f t="shared" si="343"/>
        <v>2.5765608827262962</v>
      </c>
      <c r="W279" s="202">
        <f t="shared" si="344"/>
        <v>350</v>
      </c>
      <c r="X279" s="453">
        <f t="shared" si="345"/>
        <v>201.30090875340429</v>
      </c>
      <c r="Z279" s="222">
        <f t="shared" si="346"/>
        <v>0.4322200392927309</v>
      </c>
      <c r="AA279" s="178">
        <f t="shared" si="347"/>
        <v>1.4818972775750774</v>
      </c>
      <c r="AB279" s="178">
        <f t="shared" si="372"/>
        <v>0.14945132989296789</v>
      </c>
      <c r="AC279" s="178"/>
      <c r="AD279" s="178">
        <f t="shared" si="349"/>
        <v>0.99428571428571422</v>
      </c>
      <c r="AE279" s="562">
        <f t="shared" si="373"/>
        <v>873.95957193816923</v>
      </c>
      <c r="AF279" s="545">
        <f t="shared" si="374"/>
        <v>0.10091999999999998</v>
      </c>
      <c r="AH279" s="178">
        <f t="shared" si="375"/>
        <v>0.5554920598635309</v>
      </c>
      <c r="AI279" s="178">
        <f t="shared" si="376"/>
        <v>0.751496924128503</v>
      </c>
      <c r="AJ279" s="178">
        <f t="shared" si="377"/>
        <v>1.5418495734285207</v>
      </c>
      <c r="AL279" s="562">
        <f t="shared" si="378"/>
        <v>252</v>
      </c>
      <c r="AM279" s="471">
        <f t="shared" si="379"/>
        <v>201.30090875340429</v>
      </c>
      <c r="AO279">
        <f t="shared" si="357"/>
        <v>252</v>
      </c>
      <c r="AP279">
        <f t="shared" si="358"/>
        <v>201.30090875340429</v>
      </c>
      <c r="AR279" s="5">
        <f t="shared" si="382"/>
        <v>4.9676874594988067</v>
      </c>
      <c r="AS279" s="5">
        <f t="shared" si="361"/>
        <v>2.3911265767725101</v>
      </c>
      <c r="AT279" s="5">
        <f t="shared" si="362"/>
        <v>2.5765608827262967</v>
      </c>
      <c r="AU279" s="178">
        <f t="shared" si="363"/>
        <v>0.48133595284872299</v>
      </c>
      <c r="CD279" s="580">
        <f t="shared" si="380"/>
        <v>-50</v>
      </c>
    </row>
    <row r="280" spans="5:82" x14ac:dyDescent="0.2">
      <c r="E280" s="175">
        <v>64</v>
      </c>
      <c r="F280" s="222">
        <f t="shared" si="381"/>
        <v>0.25600000000000001</v>
      </c>
      <c r="G280" s="222">
        <f t="shared" ref="G280:G316" si="383">IF(PLOT_TYPE=1, E280/100*Iout2, min_I*EXP(Q280*rr/100))</f>
        <v>0.128</v>
      </c>
      <c r="H280" s="222">
        <f t="shared" ref="H280:H316" si="384">F280*Vout</f>
        <v>3.0720000000000001</v>
      </c>
      <c r="I280" s="222">
        <f t="shared" ref="I280:I316" si="385">Vout2*G280</f>
        <v>1.536</v>
      </c>
      <c r="J280" s="558">
        <f t="shared" ref="J280:J316" si="386">VIN_max</f>
        <v>26.4</v>
      </c>
      <c r="K280" s="453">
        <f t="shared" ref="K280:K316" si="387">(S280+Vfwd1)*Nps</f>
        <v>24.5</v>
      </c>
      <c r="L280" s="453">
        <f t="shared" ref="L280:L316" si="388">(Vout+Vfwd1)*Nps+J280</f>
        <v>50.9</v>
      </c>
      <c r="M280" s="453"/>
      <c r="N280" s="222">
        <f t="shared" ref="N280:N316" si="389">(Vout+Vfwd1)*Nps/((Vout+Vfwd1)*Nps+J280)</f>
        <v>0.48133595284872299</v>
      </c>
      <c r="O280" s="177">
        <f t="shared" ref="O280:O311" si="390">N280*J280*Isw_max*0.5*Efficiency*Pout/(Pout+Pout2)</f>
        <v>5.8347544204322208</v>
      </c>
      <c r="P280" s="177">
        <f t="shared" ref="P280:P316" si="391">N280*J280*Isw_max*0.5*Efficiency*(Pout2/Pout_total)</f>
        <v>4.3760658153241652</v>
      </c>
      <c r="Q280" s="222">
        <f t="shared" ref="Q280:Q316" si="392">O280/Vout</f>
        <v>0.4862295350360184</v>
      </c>
      <c r="R280" s="222">
        <f t="shared" ref="R280:R316" si="393">O280/Vout2</f>
        <v>0.4862295350360184</v>
      </c>
      <c r="S280" s="222">
        <f t="shared" ref="S280:S316" si="394">MIN(Vout,O280/F280)</f>
        <v>12</v>
      </c>
      <c r="T280" s="222">
        <f t="shared" ref="T280:T316" si="395">MIN(2*(Vout*F280+Vout2*G280)/(Efficiency*J280*N280), Isw_max)</f>
        <v>0.76342544673371748</v>
      </c>
      <c r="U280" s="222">
        <f t="shared" ref="U280:U316" si="396">L*T280/J280*1000000</f>
        <v>2.4290809668800102</v>
      </c>
      <c r="V280" s="222">
        <f t="shared" ref="V280:V316" si="397">L*T280/K280*1000000</f>
        <v>2.6174586745156021</v>
      </c>
      <c r="W280" s="202">
        <f t="shared" ref="W280:W316" si="398">IF(1/((350000*L)*(1/J280+1/K280))&gt;Isw_min, 350, 0.001/((Isw_min*L)*(1/J280+1/K280)))</f>
        <v>350</v>
      </c>
      <c r="X280" s="453">
        <f t="shared" ref="X280:X316" si="399">MIN(1/(U280+V280)*1000, 350)</f>
        <v>198.15558205413237</v>
      </c>
      <c r="Z280" s="222">
        <f t="shared" ref="Z280:Z316" si="400">1/((W280*1000*L)*(1/J280+1/K280))</f>
        <v>0.4322200392927309</v>
      </c>
      <c r="AA280" s="178">
        <f t="shared" ref="AA280:AA316" si="401">L*Z280/K280*1000000</f>
        <v>1.4818972775750774</v>
      </c>
      <c r="AB280" s="178">
        <f t="shared" ref="AB280:AB311" si="402">0.5*AA280*Z280*Nps*W280/1000*(Pout/(Pout+Pout2))</f>
        <v>0.14945132989296789</v>
      </c>
      <c r="AC280" s="178"/>
      <c r="AD280" s="178">
        <f t="shared" ref="AD280:AD316" si="403">L*Isw_min/K280*1000000</f>
        <v>0.99428571428571422</v>
      </c>
      <c r="AE280" s="562">
        <f t="shared" ref="AE280:AE311" si="404">MAX(10, F280/(0.5*AD280/1000000*Isw_min*Nps)/1000*Pout_total/Pout)</f>
        <v>887.83194609591783</v>
      </c>
      <c r="AF280" s="545">
        <f t="shared" ref="AF280:AF316" si="405">0.5*AD280/1000000*Isw_min*Nps*W280*1000*(Pout/Pout_total)</f>
        <v>0.10091999999999998</v>
      </c>
      <c r="AH280" s="178">
        <f t="shared" ref="AH280:AH316" si="406">SQRT((H280+I280)/(0.5*L*Fsw_DCM))</f>
        <v>0.55988336977901221</v>
      </c>
      <c r="AI280" s="178">
        <f t="shared" ref="AI280:AI311" si="407">MAX(IF(F280&gt;AB280,T280,AH280),Isw_min)</f>
        <v>0.76342544673371748</v>
      </c>
      <c r="AJ280" s="178">
        <f t="shared" ref="AJ280:AJ311" si="408">IF(F280&gt;AF280, (AI280-Isw_min)/1.08*0.8+1.2, AE280*0.2/350+1)</f>
        <v>1.55068551609905</v>
      </c>
      <c r="AL280" s="562">
        <f t="shared" ref="AL280:AL316" si="409">F280*1000</f>
        <v>256</v>
      </c>
      <c r="AM280" s="471">
        <f t="shared" ref="AM280:AM316" si="410">IF(F280&gt;AF280, X280, AE280)</f>
        <v>198.15558205413237</v>
      </c>
      <c r="AO280">
        <f t="shared" ref="AO280:AO316" si="411">IF(H280&gt;O280, "",AL280)</f>
        <v>256</v>
      </c>
      <c r="AP280">
        <f t="shared" ref="AP280:AP316" si="412">IF(H280&gt;O280, "",AM280)</f>
        <v>198.15558205413237</v>
      </c>
      <c r="AR280" s="5">
        <f t="shared" si="382"/>
        <v>5.0465396413956123</v>
      </c>
      <c r="AS280" s="5">
        <f t="shared" si="361"/>
        <v>2.4290809668800102</v>
      </c>
      <c r="AT280" s="5">
        <f t="shared" si="362"/>
        <v>2.6174586745156021</v>
      </c>
      <c r="AU280" s="178">
        <f t="shared" si="363"/>
        <v>0.48133595284872305</v>
      </c>
      <c r="CD280" s="580">
        <f t="shared" ref="CD280:CD316" si="413">IF(ABS(F280-Ioutmax_Vinmax)&lt;Iout/200, AM280, -50)</f>
        <v>-50</v>
      </c>
    </row>
    <row r="281" spans="5:82" x14ac:dyDescent="0.2">
      <c r="E281" s="175">
        <v>65</v>
      </c>
      <c r="F281" s="222">
        <f t="shared" ref="F281:F312" si="414">IF(PLOT_TYPE=1, E281/100*Iout_max, min_I*EXP(O281*rr/100))</f>
        <v>0.26</v>
      </c>
      <c r="G281" s="222">
        <f t="shared" si="383"/>
        <v>0.13</v>
      </c>
      <c r="H281" s="222">
        <f t="shared" si="384"/>
        <v>3.12</v>
      </c>
      <c r="I281" s="222">
        <f t="shared" si="385"/>
        <v>1.56</v>
      </c>
      <c r="J281" s="558">
        <f t="shared" si="386"/>
        <v>26.4</v>
      </c>
      <c r="K281" s="453">
        <f t="shared" si="387"/>
        <v>24.5</v>
      </c>
      <c r="L281" s="453">
        <f t="shared" si="388"/>
        <v>50.9</v>
      </c>
      <c r="M281" s="453"/>
      <c r="N281" s="222">
        <f t="shared" si="389"/>
        <v>0.48133595284872299</v>
      </c>
      <c r="O281" s="177">
        <f t="shared" si="390"/>
        <v>5.8347544204322208</v>
      </c>
      <c r="P281" s="177">
        <f t="shared" si="391"/>
        <v>4.3760658153241652</v>
      </c>
      <c r="Q281" s="222">
        <f t="shared" si="392"/>
        <v>0.4862295350360184</v>
      </c>
      <c r="R281" s="222">
        <f t="shared" si="393"/>
        <v>0.4862295350360184</v>
      </c>
      <c r="S281" s="222">
        <f t="shared" si="394"/>
        <v>12</v>
      </c>
      <c r="T281" s="222">
        <f t="shared" si="395"/>
        <v>0.77535396933893175</v>
      </c>
      <c r="U281" s="222">
        <f t="shared" si="396"/>
        <v>2.4670353569875103</v>
      </c>
      <c r="V281" s="222">
        <f t="shared" si="397"/>
        <v>2.6583564663049088</v>
      </c>
      <c r="W281" s="202">
        <f t="shared" si="398"/>
        <v>350</v>
      </c>
      <c r="X281" s="453">
        <f t="shared" si="399"/>
        <v>195.10703463791492</v>
      </c>
      <c r="Z281" s="222">
        <f t="shared" si="400"/>
        <v>0.4322200392927309</v>
      </c>
      <c r="AA281" s="178">
        <f t="shared" si="401"/>
        <v>1.4818972775750774</v>
      </c>
      <c r="AB281" s="178">
        <f t="shared" si="402"/>
        <v>0.14945132989296789</v>
      </c>
      <c r="AC281" s="178"/>
      <c r="AD281" s="178">
        <f t="shared" si="403"/>
        <v>0.99428571428571422</v>
      </c>
      <c r="AE281" s="562">
        <f t="shared" si="404"/>
        <v>901.70432025366654</v>
      </c>
      <c r="AF281" s="545">
        <f t="shared" si="405"/>
        <v>0.10091999999999998</v>
      </c>
      <c r="AH281" s="178">
        <f t="shared" si="406"/>
        <v>0.56424050451804286</v>
      </c>
      <c r="AI281" s="178">
        <f t="shared" si="407"/>
        <v>0.77535396933893175</v>
      </c>
      <c r="AJ281" s="178">
        <f t="shared" si="408"/>
        <v>1.5595214587695789</v>
      </c>
      <c r="AL281" s="562">
        <f t="shared" si="409"/>
        <v>260</v>
      </c>
      <c r="AM281" s="471">
        <f t="shared" si="410"/>
        <v>195.10703463791492</v>
      </c>
      <c r="AO281">
        <f t="shared" si="411"/>
        <v>260</v>
      </c>
      <c r="AP281">
        <f t="shared" si="412"/>
        <v>195.10703463791492</v>
      </c>
      <c r="AR281" s="5">
        <f t="shared" si="382"/>
        <v>5.1253918232924196</v>
      </c>
      <c r="AS281" s="5">
        <f t="shared" si="361"/>
        <v>2.4670353569875103</v>
      </c>
      <c r="AT281" s="5">
        <f t="shared" si="362"/>
        <v>2.6583564663049093</v>
      </c>
      <c r="AU281" s="178">
        <f t="shared" si="363"/>
        <v>0.48133595284872299</v>
      </c>
      <c r="CD281" s="580">
        <f t="shared" si="413"/>
        <v>-50</v>
      </c>
    </row>
    <row r="282" spans="5:82" x14ac:dyDescent="0.2">
      <c r="E282" s="175">
        <v>66</v>
      </c>
      <c r="F282" s="222">
        <f t="shared" si="414"/>
        <v>0.26400000000000001</v>
      </c>
      <c r="G282" s="222">
        <f t="shared" si="383"/>
        <v>0.13200000000000001</v>
      </c>
      <c r="H282" s="222">
        <f t="shared" si="384"/>
        <v>3.1680000000000001</v>
      </c>
      <c r="I282" s="222">
        <f t="shared" si="385"/>
        <v>1.5840000000000001</v>
      </c>
      <c r="J282" s="558">
        <f t="shared" si="386"/>
        <v>26.4</v>
      </c>
      <c r="K282" s="453">
        <f t="shared" si="387"/>
        <v>24.5</v>
      </c>
      <c r="L282" s="453">
        <f t="shared" si="388"/>
        <v>50.9</v>
      </c>
      <c r="M282" s="453"/>
      <c r="N282" s="222">
        <f t="shared" si="389"/>
        <v>0.48133595284872299</v>
      </c>
      <c r="O282" s="177">
        <f t="shared" si="390"/>
        <v>5.8347544204322208</v>
      </c>
      <c r="P282" s="177">
        <f t="shared" si="391"/>
        <v>4.3760658153241652</v>
      </c>
      <c r="Q282" s="222">
        <f t="shared" si="392"/>
        <v>0.4862295350360184</v>
      </c>
      <c r="R282" s="222">
        <f t="shared" si="393"/>
        <v>0.4862295350360184</v>
      </c>
      <c r="S282" s="222">
        <f t="shared" si="394"/>
        <v>12</v>
      </c>
      <c r="T282" s="222">
        <f t="shared" si="395"/>
        <v>0.78728249194414623</v>
      </c>
      <c r="U282" s="222">
        <f t="shared" si="396"/>
        <v>2.5049897470950109</v>
      </c>
      <c r="V282" s="222">
        <f t="shared" si="397"/>
        <v>2.6992542580942156</v>
      </c>
      <c r="W282" s="202">
        <f t="shared" si="398"/>
        <v>350</v>
      </c>
      <c r="X282" s="453">
        <f t="shared" si="399"/>
        <v>192.15086744643136</v>
      </c>
      <c r="Z282" s="222">
        <f t="shared" si="400"/>
        <v>0.4322200392927309</v>
      </c>
      <c r="AA282" s="178">
        <f t="shared" si="401"/>
        <v>1.4818972775750774</v>
      </c>
      <c r="AB282" s="178">
        <f t="shared" si="402"/>
        <v>0.14945132989296789</v>
      </c>
      <c r="AC282" s="178"/>
      <c r="AD282" s="178">
        <f t="shared" si="403"/>
        <v>0.99428571428571422</v>
      </c>
      <c r="AE282" s="562">
        <f t="shared" si="404"/>
        <v>915.57669441141513</v>
      </c>
      <c r="AF282" s="545">
        <f t="shared" si="405"/>
        <v>0.10091999999999998</v>
      </c>
      <c r="AH282" s="178">
        <f t="shared" si="406"/>
        <v>0.56856424977521147</v>
      </c>
      <c r="AI282" s="178">
        <f t="shared" si="407"/>
        <v>0.78728249194414623</v>
      </c>
      <c r="AJ282" s="178">
        <f t="shared" si="408"/>
        <v>1.5683574014401083</v>
      </c>
      <c r="AL282" s="562">
        <f t="shared" si="409"/>
        <v>264</v>
      </c>
      <c r="AM282" s="471">
        <f t="shared" si="410"/>
        <v>192.15086744643136</v>
      </c>
      <c r="AO282">
        <f t="shared" si="411"/>
        <v>264</v>
      </c>
      <c r="AP282">
        <f t="shared" si="412"/>
        <v>192.15086744643136</v>
      </c>
      <c r="AR282" s="5">
        <f t="shared" si="382"/>
        <v>5.204244005189226</v>
      </c>
      <c r="AS282" s="5">
        <f t="shared" si="361"/>
        <v>2.5049897470950109</v>
      </c>
      <c r="AT282" s="5">
        <f t="shared" si="362"/>
        <v>2.6992542580942152</v>
      </c>
      <c r="AU282" s="178">
        <f t="shared" si="363"/>
        <v>0.48133595284872305</v>
      </c>
      <c r="CD282" s="580">
        <f t="shared" si="413"/>
        <v>-50</v>
      </c>
    </row>
    <row r="283" spans="5:82" x14ac:dyDescent="0.2">
      <c r="E283" s="175">
        <v>67</v>
      </c>
      <c r="F283" s="222">
        <f t="shared" si="414"/>
        <v>0.26800000000000002</v>
      </c>
      <c r="G283" s="222">
        <f t="shared" si="383"/>
        <v>0.13400000000000001</v>
      </c>
      <c r="H283" s="222">
        <f t="shared" si="384"/>
        <v>3.2160000000000002</v>
      </c>
      <c r="I283" s="222">
        <f t="shared" si="385"/>
        <v>1.6080000000000001</v>
      </c>
      <c r="J283" s="558">
        <f t="shared" si="386"/>
        <v>26.4</v>
      </c>
      <c r="K283" s="453">
        <f t="shared" si="387"/>
        <v>24.5</v>
      </c>
      <c r="L283" s="453">
        <f t="shared" si="388"/>
        <v>50.9</v>
      </c>
      <c r="M283" s="453"/>
      <c r="N283" s="222">
        <f t="shared" si="389"/>
        <v>0.48133595284872299</v>
      </c>
      <c r="O283" s="177">
        <f t="shared" si="390"/>
        <v>5.8347544204322208</v>
      </c>
      <c r="P283" s="177">
        <f t="shared" si="391"/>
        <v>4.3760658153241652</v>
      </c>
      <c r="Q283" s="222">
        <f t="shared" si="392"/>
        <v>0.4862295350360184</v>
      </c>
      <c r="R283" s="222">
        <f t="shared" si="393"/>
        <v>0.4862295350360184</v>
      </c>
      <c r="S283" s="222">
        <f t="shared" si="394"/>
        <v>12</v>
      </c>
      <c r="T283" s="222">
        <f t="shared" si="395"/>
        <v>0.79921101454936039</v>
      </c>
      <c r="U283" s="222">
        <f t="shared" si="396"/>
        <v>2.5429441372025106</v>
      </c>
      <c r="V283" s="222">
        <f t="shared" si="397"/>
        <v>2.7401520498835215</v>
      </c>
      <c r="W283" s="202">
        <f t="shared" si="398"/>
        <v>350</v>
      </c>
      <c r="X283" s="453">
        <f t="shared" si="399"/>
        <v>189.28294405170851</v>
      </c>
      <c r="Z283" s="222">
        <f t="shared" si="400"/>
        <v>0.4322200392927309</v>
      </c>
      <c r="AA283" s="178">
        <f t="shared" si="401"/>
        <v>1.4818972775750774</v>
      </c>
      <c r="AB283" s="178">
        <f t="shared" si="402"/>
        <v>0.14945132989296789</v>
      </c>
      <c r="AC283" s="178"/>
      <c r="AD283" s="178">
        <f t="shared" si="403"/>
        <v>0.99428571428571422</v>
      </c>
      <c r="AE283" s="562">
        <f t="shared" si="404"/>
        <v>929.44906856916407</v>
      </c>
      <c r="AF283" s="545">
        <f t="shared" si="405"/>
        <v>0.10091999999999998</v>
      </c>
      <c r="AH283" s="178">
        <f t="shared" si="406"/>
        <v>0.57285536159324058</v>
      </c>
      <c r="AI283" s="178">
        <f t="shared" si="407"/>
        <v>0.79921101454936039</v>
      </c>
      <c r="AJ283" s="178">
        <f t="shared" si="408"/>
        <v>1.5771933441106374</v>
      </c>
      <c r="AL283" s="562">
        <f t="shared" si="409"/>
        <v>268</v>
      </c>
      <c r="AM283" s="471">
        <f t="shared" si="410"/>
        <v>189.28294405170851</v>
      </c>
      <c r="AO283">
        <f t="shared" si="411"/>
        <v>268</v>
      </c>
      <c r="AP283">
        <f t="shared" si="412"/>
        <v>189.28294405170851</v>
      </c>
      <c r="AR283" s="5">
        <f t="shared" si="382"/>
        <v>5.2830961870860325</v>
      </c>
      <c r="AS283" s="5">
        <f t="shared" si="361"/>
        <v>2.5429441372025106</v>
      </c>
      <c r="AT283" s="5">
        <f t="shared" si="362"/>
        <v>2.7401520498835219</v>
      </c>
      <c r="AU283" s="178">
        <f t="shared" si="363"/>
        <v>0.48133595284872294</v>
      </c>
      <c r="CD283" s="580">
        <f t="shared" si="413"/>
        <v>-50</v>
      </c>
    </row>
    <row r="284" spans="5:82" x14ac:dyDescent="0.2">
      <c r="E284" s="175">
        <v>68</v>
      </c>
      <c r="F284" s="222">
        <f t="shared" si="414"/>
        <v>0.27200000000000002</v>
      </c>
      <c r="G284" s="222">
        <f t="shared" si="383"/>
        <v>0.13600000000000001</v>
      </c>
      <c r="H284" s="222">
        <f t="shared" si="384"/>
        <v>3.2640000000000002</v>
      </c>
      <c r="I284" s="222">
        <f t="shared" si="385"/>
        <v>1.6320000000000001</v>
      </c>
      <c r="J284" s="558">
        <f t="shared" si="386"/>
        <v>26.4</v>
      </c>
      <c r="K284" s="453">
        <f t="shared" si="387"/>
        <v>24.5</v>
      </c>
      <c r="L284" s="453">
        <f t="shared" si="388"/>
        <v>50.9</v>
      </c>
      <c r="M284" s="453"/>
      <c r="N284" s="222">
        <f t="shared" si="389"/>
        <v>0.48133595284872299</v>
      </c>
      <c r="O284" s="177">
        <f t="shared" si="390"/>
        <v>5.8347544204322208</v>
      </c>
      <c r="P284" s="177">
        <f t="shared" si="391"/>
        <v>4.3760658153241652</v>
      </c>
      <c r="Q284" s="222">
        <f t="shared" si="392"/>
        <v>0.4862295350360184</v>
      </c>
      <c r="R284" s="222">
        <f t="shared" si="393"/>
        <v>0.4862295350360184</v>
      </c>
      <c r="S284" s="222">
        <f t="shared" si="394"/>
        <v>12</v>
      </c>
      <c r="T284" s="222">
        <f t="shared" si="395"/>
        <v>0.81113953715457487</v>
      </c>
      <c r="U284" s="222">
        <f t="shared" si="396"/>
        <v>2.5808985273100107</v>
      </c>
      <c r="V284" s="222">
        <f t="shared" si="397"/>
        <v>2.7810498416728278</v>
      </c>
      <c r="W284" s="202">
        <f t="shared" si="398"/>
        <v>350</v>
      </c>
      <c r="X284" s="453">
        <f t="shared" si="399"/>
        <v>186.49937134506573</v>
      </c>
      <c r="Z284" s="222">
        <f t="shared" si="400"/>
        <v>0.4322200392927309</v>
      </c>
      <c r="AA284" s="178">
        <f t="shared" si="401"/>
        <v>1.4818972775750774</v>
      </c>
      <c r="AB284" s="178">
        <f t="shared" si="402"/>
        <v>0.14945132989296789</v>
      </c>
      <c r="AC284" s="178"/>
      <c r="AD284" s="178">
        <f t="shared" si="403"/>
        <v>0.99428571428571422</v>
      </c>
      <c r="AE284" s="562">
        <f t="shared" si="404"/>
        <v>943.32144272691266</v>
      </c>
      <c r="AF284" s="545">
        <f t="shared" si="405"/>
        <v>0.10091999999999998</v>
      </c>
      <c r="AH284" s="178">
        <f t="shared" si="406"/>
        <v>0.57711456790640447</v>
      </c>
      <c r="AI284" s="178">
        <f t="shared" si="407"/>
        <v>0.81113953715457487</v>
      </c>
      <c r="AJ284" s="178">
        <f t="shared" si="408"/>
        <v>1.5860292867811665</v>
      </c>
      <c r="AL284" s="562">
        <f t="shared" si="409"/>
        <v>272</v>
      </c>
      <c r="AM284" s="471">
        <f t="shared" si="410"/>
        <v>186.49937134506573</v>
      </c>
      <c r="AO284">
        <f t="shared" si="411"/>
        <v>272</v>
      </c>
      <c r="AP284">
        <f t="shared" si="412"/>
        <v>186.49937134506573</v>
      </c>
      <c r="AR284" s="5">
        <f t="shared" si="382"/>
        <v>5.3619483689828389</v>
      </c>
      <c r="AS284" s="5">
        <f t="shared" si="361"/>
        <v>2.5808985273100107</v>
      </c>
      <c r="AT284" s="5">
        <f t="shared" si="362"/>
        <v>2.7810498416728282</v>
      </c>
      <c r="AU284" s="178">
        <f t="shared" si="363"/>
        <v>0.48133595284872294</v>
      </c>
      <c r="CD284" s="580">
        <f t="shared" si="413"/>
        <v>-50</v>
      </c>
    </row>
    <row r="285" spans="5:82" x14ac:dyDescent="0.2">
      <c r="E285" s="175">
        <v>69</v>
      </c>
      <c r="F285" s="222">
        <f t="shared" si="414"/>
        <v>0.27599999999999997</v>
      </c>
      <c r="G285" s="222">
        <f t="shared" si="383"/>
        <v>0.13799999999999998</v>
      </c>
      <c r="H285" s="222">
        <f t="shared" si="384"/>
        <v>3.3119999999999994</v>
      </c>
      <c r="I285" s="222">
        <f t="shared" si="385"/>
        <v>1.6559999999999997</v>
      </c>
      <c r="J285" s="558">
        <f t="shared" si="386"/>
        <v>26.4</v>
      </c>
      <c r="K285" s="453">
        <f t="shared" si="387"/>
        <v>24.5</v>
      </c>
      <c r="L285" s="453">
        <f t="shared" si="388"/>
        <v>50.9</v>
      </c>
      <c r="M285" s="453"/>
      <c r="N285" s="222">
        <f t="shared" si="389"/>
        <v>0.48133595284872299</v>
      </c>
      <c r="O285" s="177">
        <f t="shared" si="390"/>
        <v>5.8347544204322208</v>
      </c>
      <c r="P285" s="177">
        <f t="shared" si="391"/>
        <v>4.3760658153241652</v>
      </c>
      <c r="Q285" s="222">
        <f t="shared" si="392"/>
        <v>0.4862295350360184</v>
      </c>
      <c r="R285" s="222">
        <f t="shared" si="393"/>
        <v>0.4862295350360184</v>
      </c>
      <c r="S285" s="222">
        <f t="shared" si="394"/>
        <v>12</v>
      </c>
      <c r="T285" s="222">
        <f t="shared" si="395"/>
        <v>0.82306805975978892</v>
      </c>
      <c r="U285" s="222">
        <f t="shared" si="396"/>
        <v>2.6188529174175099</v>
      </c>
      <c r="V285" s="222">
        <f t="shared" si="397"/>
        <v>2.8219476334621332</v>
      </c>
      <c r="W285" s="202">
        <f t="shared" si="398"/>
        <v>350</v>
      </c>
      <c r="X285" s="453">
        <f t="shared" si="399"/>
        <v>183.79648190528223</v>
      </c>
      <c r="Z285" s="222">
        <f t="shared" si="400"/>
        <v>0.4322200392927309</v>
      </c>
      <c r="AA285" s="178">
        <f t="shared" si="401"/>
        <v>1.4818972775750774</v>
      </c>
      <c r="AB285" s="178">
        <f t="shared" si="402"/>
        <v>0.14945132989296789</v>
      </c>
      <c r="AC285" s="178"/>
      <c r="AD285" s="178">
        <f t="shared" si="403"/>
        <v>0.99428571428571422</v>
      </c>
      <c r="AE285" s="562">
        <f t="shared" si="404"/>
        <v>957.19381688466115</v>
      </c>
      <c r="AF285" s="545">
        <f t="shared" si="405"/>
        <v>0.10091999999999998</v>
      </c>
      <c r="AH285" s="178">
        <f t="shared" si="406"/>
        <v>0.58134256998216582</v>
      </c>
      <c r="AI285" s="178">
        <f t="shared" si="407"/>
        <v>0.82306805975978892</v>
      </c>
      <c r="AJ285" s="178">
        <f t="shared" si="408"/>
        <v>1.5948652294516954</v>
      </c>
      <c r="AL285" s="562">
        <f t="shared" si="409"/>
        <v>275.99999999999994</v>
      </c>
      <c r="AM285" s="471">
        <f t="shared" si="410"/>
        <v>183.79648190528223</v>
      </c>
      <c r="AO285">
        <f t="shared" si="411"/>
        <v>275.99999999999994</v>
      </c>
      <c r="AP285">
        <f t="shared" si="412"/>
        <v>183.79648190528223</v>
      </c>
      <c r="AR285" s="5">
        <f t="shared" si="382"/>
        <v>5.4408005508796435</v>
      </c>
      <c r="AS285" s="5">
        <f t="shared" si="361"/>
        <v>2.6188529174175099</v>
      </c>
      <c r="AT285" s="5">
        <f t="shared" si="362"/>
        <v>2.8219476334621336</v>
      </c>
      <c r="AU285" s="178">
        <f t="shared" si="363"/>
        <v>0.48133595284872294</v>
      </c>
      <c r="CD285" s="580">
        <f t="shared" si="413"/>
        <v>-50</v>
      </c>
    </row>
    <row r="286" spans="5:82" x14ac:dyDescent="0.2">
      <c r="E286" s="175">
        <v>70</v>
      </c>
      <c r="F286" s="222">
        <f t="shared" si="414"/>
        <v>0.27999999999999997</v>
      </c>
      <c r="G286" s="222">
        <f t="shared" si="383"/>
        <v>0.13999999999999999</v>
      </c>
      <c r="H286" s="222">
        <f t="shared" si="384"/>
        <v>3.3599999999999994</v>
      </c>
      <c r="I286" s="222">
        <f t="shared" si="385"/>
        <v>1.6799999999999997</v>
      </c>
      <c r="J286" s="558">
        <f t="shared" si="386"/>
        <v>26.4</v>
      </c>
      <c r="K286" s="453">
        <f t="shared" si="387"/>
        <v>24.5</v>
      </c>
      <c r="L286" s="453">
        <f t="shared" si="388"/>
        <v>50.9</v>
      </c>
      <c r="M286" s="453"/>
      <c r="N286" s="222">
        <f t="shared" si="389"/>
        <v>0.48133595284872299</v>
      </c>
      <c r="O286" s="177">
        <f t="shared" si="390"/>
        <v>5.8347544204322208</v>
      </c>
      <c r="P286" s="177">
        <f t="shared" si="391"/>
        <v>4.3760658153241652</v>
      </c>
      <c r="Q286" s="222">
        <f t="shared" si="392"/>
        <v>0.4862295350360184</v>
      </c>
      <c r="R286" s="222">
        <f t="shared" si="393"/>
        <v>0.4862295350360184</v>
      </c>
      <c r="S286" s="222">
        <f t="shared" si="394"/>
        <v>12</v>
      </c>
      <c r="T286" s="222">
        <f t="shared" si="395"/>
        <v>0.83499658236500329</v>
      </c>
      <c r="U286" s="222">
        <f t="shared" si="396"/>
        <v>2.6568073075250105</v>
      </c>
      <c r="V286" s="222">
        <f t="shared" si="397"/>
        <v>2.8628454252514399</v>
      </c>
      <c r="W286" s="202">
        <f t="shared" si="398"/>
        <v>350</v>
      </c>
      <c r="X286" s="453">
        <f t="shared" si="399"/>
        <v>181.1708178780639</v>
      </c>
      <c r="Z286" s="222">
        <f t="shared" si="400"/>
        <v>0.4322200392927309</v>
      </c>
      <c r="AA286" s="178">
        <f t="shared" si="401"/>
        <v>1.4818972775750774</v>
      </c>
      <c r="AB286" s="178">
        <f t="shared" si="402"/>
        <v>0.14945132989296789</v>
      </c>
      <c r="AC286" s="178"/>
      <c r="AD286" s="178">
        <f t="shared" si="403"/>
        <v>0.99428571428571422</v>
      </c>
      <c r="AE286" s="562">
        <f t="shared" si="404"/>
        <v>971.06619104241008</v>
      </c>
      <c r="AF286" s="545">
        <f t="shared" si="405"/>
        <v>0.10091999999999998</v>
      </c>
      <c r="AH286" s="178">
        <f t="shared" si="406"/>
        <v>0.58554004376911983</v>
      </c>
      <c r="AI286" s="178">
        <f t="shared" si="407"/>
        <v>0.83499658236500329</v>
      </c>
      <c r="AJ286" s="178">
        <f t="shared" si="408"/>
        <v>1.6037011721222247</v>
      </c>
      <c r="AL286" s="562">
        <f t="shared" si="409"/>
        <v>279.99999999999994</v>
      </c>
      <c r="AM286" s="471">
        <f t="shared" si="410"/>
        <v>181.1708178780639</v>
      </c>
      <c r="AO286">
        <f t="shared" si="411"/>
        <v>279.99999999999994</v>
      </c>
      <c r="AP286">
        <f t="shared" si="412"/>
        <v>181.1708178780639</v>
      </c>
      <c r="AR286" s="5">
        <f t="shared" si="382"/>
        <v>5.5196527327764509</v>
      </c>
      <c r="AS286" s="5">
        <f t="shared" si="361"/>
        <v>2.6568073075250105</v>
      </c>
      <c r="AT286" s="5">
        <f t="shared" si="362"/>
        <v>2.8628454252514404</v>
      </c>
      <c r="AU286" s="178">
        <f t="shared" si="363"/>
        <v>0.48133595284872294</v>
      </c>
      <c r="CD286" s="580">
        <f t="shared" si="413"/>
        <v>-50</v>
      </c>
    </row>
    <row r="287" spans="5:82" x14ac:dyDescent="0.2">
      <c r="E287" s="175">
        <v>71</v>
      </c>
      <c r="F287" s="222">
        <f t="shared" si="414"/>
        <v>0.28399999999999997</v>
      </c>
      <c r="G287" s="222">
        <f t="shared" si="383"/>
        <v>0.14199999999999999</v>
      </c>
      <c r="H287" s="222">
        <f t="shared" si="384"/>
        <v>3.4079999999999995</v>
      </c>
      <c r="I287" s="222">
        <f t="shared" si="385"/>
        <v>1.7039999999999997</v>
      </c>
      <c r="J287" s="558">
        <f t="shared" si="386"/>
        <v>26.4</v>
      </c>
      <c r="K287" s="453">
        <f t="shared" si="387"/>
        <v>24.5</v>
      </c>
      <c r="L287" s="453">
        <f t="shared" si="388"/>
        <v>50.9</v>
      </c>
      <c r="M287" s="453"/>
      <c r="N287" s="222">
        <f t="shared" si="389"/>
        <v>0.48133595284872299</v>
      </c>
      <c r="O287" s="177">
        <f t="shared" si="390"/>
        <v>5.8347544204322208</v>
      </c>
      <c r="P287" s="177">
        <f t="shared" si="391"/>
        <v>4.3760658153241652</v>
      </c>
      <c r="Q287" s="222">
        <f t="shared" si="392"/>
        <v>0.4862295350360184</v>
      </c>
      <c r="R287" s="222">
        <f t="shared" si="393"/>
        <v>0.4862295350360184</v>
      </c>
      <c r="S287" s="222">
        <f t="shared" si="394"/>
        <v>12</v>
      </c>
      <c r="T287" s="222">
        <f t="shared" si="395"/>
        <v>0.84692510497021767</v>
      </c>
      <c r="U287" s="222">
        <f t="shared" si="396"/>
        <v>2.6947616976325106</v>
      </c>
      <c r="V287" s="222">
        <f t="shared" si="397"/>
        <v>2.9037432170407462</v>
      </c>
      <c r="W287" s="202">
        <f t="shared" si="398"/>
        <v>350</v>
      </c>
      <c r="X287" s="453">
        <f t="shared" si="399"/>
        <v>178.61911621780948</v>
      </c>
      <c r="Z287" s="222">
        <f t="shared" si="400"/>
        <v>0.4322200392927309</v>
      </c>
      <c r="AA287" s="178">
        <f t="shared" si="401"/>
        <v>1.4818972775750774</v>
      </c>
      <c r="AB287" s="178">
        <f t="shared" si="402"/>
        <v>0.14945132989296789</v>
      </c>
      <c r="AC287" s="178"/>
      <c r="AD287" s="178">
        <f t="shared" si="403"/>
        <v>0.99428571428571422</v>
      </c>
      <c r="AE287" s="562">
        <f t="shared" si="404"/>
        <v>984.93856520015868</v>
      </c>
      <c r="AF287" s="545">
        <f t="shared" si="405"/>
        <v>0.10091999999999998</v>
      </c>
      <c r="AH287" s="178">
        <f t="shared" si="406"/>
        <v>0.58970764115857977</v>
      </c>
      <c r="AI287" s="178">
        <f t="shared" si="407"/>
        <v>0.84692510497021767</v>
      </c>
      <c r="AJ287" s="178">
        <f t="shared" si="408"/>
        <v>1.6125371147927539</v>
      </c>
      <c r="AL287" s="562">
        <f t="shared" si="409"/>
        <v>284</v>
      </c>
      <c r="AM287" s="471">
        <f t="shared" si="410"/>
        <v>178.61911621780948</v>
      </c>
      <c r="AO287">
        <f t="shared" si="411"/>
        <v>284</v>
      </c>
      <c r="AP287">
        <f t="shared" si="412"/>
        <v>178.61911621780948</v>
      </c>
      <c r="AR287" s="5">
        <f t="shared" si="382"/>
        <v>5.5985049146732573</v>
      </c>
      <c r="AS287" s="5">
        <f t="shared" si="361"/>
        <v>2.6947616976325106</v>
      </c>
      <c r="AT287" s="5">
        <f t="shared" si="362"/>
        <v>2.9037432170407467</v>
      </c>
      <c r="AU287" s="178">
        <f t="shared" si="363"/>
        <v>0.48133595284872294</v>
      </c>
      <c r="CD287" s="580">
        <f t="shared" si="413"/>
        <v>-50</v>
      </c>
    </row>
    <row r="288" spans="5:82" x14ac:dyDescent="0.2">
      <c r="E288" s="175">
        <v>72</v>
      </c>
      <c r="F288" s="222">
        <f t="shared" si="414"/>
        <v>0.28799999999999998</v>
      </c>
      <c r="G288" s="222">
        <f t="shared" si="383"/>
        <v>0.14399999999999999</v>
      </c>
      <c r="H288" s="222">
        <f t="shared" si="384"/>
        <v>3.4559999999999995</v>
      </c>
      <c r="I288" s="222">
        <f t="shared" si="385"/>
        <v>1.7279999999999998</v>
      </c>
      <c r="J288" s="558">
        <f t="shared" si="386"/>
        <v>26.4</v>
      </c>
      <c r="K288" s="453">
        <f t="shared" si="387"/>
        <v>24.5</v>
      </c>
      <c r="L288" s="453">
        <f t="shared" si="388"/>
        <v>50.9</v>
      </c>
      <c r="M288" s="453"/>
      <c r="N288" s="222">
        <f t="shared" si="389"/>
        <v>0.48133595284872299</v>
      </c>
      <c r="O288" s="177">
        <f t="shared" si="390"/>
        <v>5.8347544204322208</v>
      </c>
      <c r="P288" s="177">
        <f t="shared" si="391"/>
        <v>4.3760658153241652</v>
      </c>
      <c r="Q288" s="222">
        <f t="shared" si="392"/>
        <v>0.4862295350360184</v>
      </c>
      <c r="R288" s="222">
        <f t="shared" si="393"/>
        <v>0.4862295350360184</v>
      </c>
      <c r="S288" s="222">
        <f t="shared" si="394"/>
        <v>12</v>
      </c>
      <c r="T288" s="222">
        <f t="shared" si="395"/>
        <v>0.85885362757543193</v>
      </c>
      <c r="U288" s="222">
        <f t="shared" si="396"/>
        <v>2.7327160877400103</v>
      </c>
      <c r="V288" s="222">
        <f t="shared" si="397"/>
        <v>2.9446410088300521</v>
      </c>
      <c r="W288" s="202">
        <f t="shared" si="398"/>
        <v>350</v>
      </c>
      <c r="X288" s="453">
        <f t="shared" si="399"/>
        <v>176.13829515922879</v>
      </c>
      <c r="Z288" s="222">
        <f t="shared" si="400"/>
        <v>0.4322200392927309</v>
      </c>
      <c r="AA288" s="178">
        <f t="shared" si="401"/>
        <v>1.4818972775750774</v>
      </c>
      <c r="AB288" s="178">
        <f t="shared" si="402"/>
        <v>0.14945132989296789</v>
      </c>
      <c r="AC288" s="178"/>
      <c r="AD288" s="178">
        <f t="shared" si="403"/>
        <v>0.99428571428571422</v>
      </c>
      <c r="AE288" s="562">
        <f t="shared" si="404"/>
        <v>998.81093935790739</v>
      </c>
      <c r="AF288" s="545">
        <f t="shared" si="405"/>
        <v>0.10091999999999998</v>
      </c>
      <c r="AH288" s="178">
        <f t="shared" si="406"/>
        <v>0.59384599116647219</v>
      </c>
      <c r="AI288" s="178">
        <f t="shared" si="407"/>
        <v>0.85885362757543193</v>
      </c>
      <c r="AJ288" s="178">
        <f t="shared" si="408"/>
        <v>1.6213730574632828</v>
      </c>
      <c r="AL288" s="562">
        <f t="shared" si="409"/>
        <v>288</v>
      </c>
      <c r="AM288" s="471">
        <f t="shared" si="410"/>
        <v>176.13829515922879</v>
      </c>
      <c r="AO288">
        <f t="shared" si="411"/>
        <v>288</v>
      </c>
      <c r="AP288">
        <f t="shared" si="412"/>
        <v>176.13829515922879</v>
      </c>
      <c r="AR288" s="5">
        <f t="shared" si="382"/>
        <v>5.6773570965700637</v>
      </c>
      <c r="AS288" s="5">
        <f t="shared" si="361"/>
        <v>2.7327160877400103</v>
      </c>
      <c r="AT288" s="5">
        <f t="shared" si="362"/>
        <v>2.9446410088300534</v>
      </c>
      <c r="AU288" s="178">
        <f t="shared" si="363"/>
        <v>0.48133595284872288</v>
      </c>
      <c r="CD288" s="580">
        <f t="shared" si="413"/>
        <v>-50</v>
      </c>
    </row>
    <row r="289" spans="5:82" x14ac:dyDescent="0.2">
      <c r="E289" s="175">
        <v>73</v>
      </c>
      <c r="F289" s="222">
        <f t="shared" si="414"/>
        <v>0.29199999999999998</v>
      </c>
      <c r="G289" s="222">
        <f t="shared" si="383"/>
        <v>0.14599999999999999</v>
      </c>
      <c r="H289" s="222">
        <f t="shared" si="384"/>
        <v>3.5039999999999996</v>
      </c>
      <c r="I289" s="222">
        <f t="shared" si="385"/>
        <v>1.7519999999999998</v>
      </c>
      <c r="J289" s="558">
        <f t="shared" si="386"/>
        <v>26.4</v>
      </c>
      <c r="K289" s="453">
        <f t="shared" si="387"/>
        <v>24.5</v>
      </c>
      <c r="L289" s="453">
        <f t="shared" si="388"/>
        <v>50.9</v>
      </c>
      <c r="M289" s="453"/>
      <c r="N289" s="222">
        <f t="shared" si="389"/>
        <v>0.48133595284872299</v>
      </c>
      <c r="O289" s="177">
        <f t="shared" si="390"/>
        <v>5.8347544204322208</v>
      </c>
      <c r="P289" s="177">
        <f t="shared" si="391"/>
        <v>4.3760658153241652</v>
      </c>
      <c r="Q289" s="222">
        <f t="shared" si="392"/>
        <v>0.4862295350360184</v>
      </c>
      <c r="R289" s="222">
        <f t="shared" si="393"/>
        <v>0.4862295350360184</v>
      </c>
      <c r="S289" s="222">
        <f t="shared" si="394"/>
        <v>12</v>
      </c>
      <c r="T289" s="222">
        <f t="shared" si="395"/>
        <v>0.87078215018064631</v>
      </c>
      <c r="U289" s="222">
        <f t="shared" si="396"/>
        <v>2.7706704778475104</v>
      </c>
      <c r="V289" s="222">
        <f t="shared" si="397"/>
        <v>2.9855388006193584</v>
      </c>
      <c r="W289" s="202">
        <f t="shared" si="398"/>
        <v>350</v>
      </c>
      <c r="X289" s="453">
        <f t="shared" si="399"/>
        <v>173.7254418008832</v>
      </c>
      <c r="Z289" s="222">
        <f t="shared" si="400"/>
        <v>0.4322200392927309</v>
      </c>
      <c r="AA289" s="178">
        <f t="shared" si="401"/>
        <v>1.4818972775750774</v>
      </c>
      <c r="AB289" s="178">
        <f t="shared" si="402"/>
        <v>0.14945132989296789</v>
      </c>
      <c r="AC289" s="178"/>
      <c r="AD289" s="178">
        <f t="shared" si="403"/>
        <v>0.99428571428571422</v>
      </c>
      <c r="AE289" s="562">
        <f t="shared" si="404"/>
        <v>1012.6833135156562</v>
      </c>
      <c r="AF289" s="545">
        <f t="shared" si="405"/>
        <v>0.10091999999999998</v>
      </c>
      <c r="AH289" s="178">
        <f t="shared" si="406"/>
        <v>0.59795570104161</v>
      </c>
      <c r="AI289" s="178">
        <f t="shared" si="407"/>
        <v>0.87078215018064631</v>
      </c>
      <c r="AJ289" s="178">
        <f t="shared" si="408"/>
        <v>1.6302090001338121</v>
      </c>
      <c r="AL289" s="562">
        <f t="shared" si="409"/>
        <v>292</v>
      </c>
      <c r="AM289" s="471">
        <f t="shared" si="410"/>
        <v>173.7254418008832</v>
      </c>
      <c r="AO289">
        <f t="shared" si="411"/>
        <v>292</v>
      </c>
      <c r="AP289">
        <f t="shared" si="412"/>
        <v>173.7254418008832</v>
      </c>
      <c r="AR289" s="5">
        <f t="shared" si="382"/>
        <v>5.7562092784668693</v>
      </c>
      <c r="AS289" s="5">
        <f t="shared" si="361"/>
        <v>2.7706704778475104</v>
      </c>
      <c r="AT289" s="5">
        <f t="shared" si="362"/>
        <v>2.9855388006193588</v>
      </c>
      <c r="AU289" s="178">
        <f t="shared" si="363"/>
        <v>0.48133595284872294</v>
      </c>
      <c r="CD289" s="580">
        <f t="shared" si="413"/>
        <v>-50</v>
      </c>
    </row>
    <row r="290" spans="5:82" x14ac:dyDescent="0.2">
      <c r="E290" s="175">
        <v>74</v>
      </c>
      <c r="F290" s="222">
        <f t="shared" si="414"/>
        <v>0.29599999999999999</v>
      </c>
      <c r="G290" s="222">
        <f t="shared" si="383"/>
        <v>0.14799999999999999</v>
      </c>
      <c r="H290" s="222">
        <f t="shared" si="384"/>
        <v>3.5519999999999996</v>
      </c>
      <c r="I290" s="222">
        <f t="shared" si="385"/>
        <v>1.7759999999999998</v>
      </c>
      <c r="J290" s="558">
        <f t="shared" si="386"/>
        <v>26.4</v>
      </c>
      <c r="K290" s="453">
        <f t="shared" si="387"/>
        <v>24.5</v>
      </c>
      <c r="L290" s="453">
        <f t="shared" si="388"/>
        <v>50.9</v>
      </c>
      <c r="M290" s="453"/>
      <c r="N290" s="222">
        <f t="shared" si="389"/>
        <v>0.48133595284872299</v>
      </c>
      <c r="O290" s="177">
        <f t="shared" si="390"/>
        <v>5.8347544204322208</v>
      </c>
      <c r="P290" s="177">
        <f t="shared" si="391"/>
        <v>4.3760658153241652</v>
      </c>
      <c r="Q290" s="222">
        <f t="shared" si="392"/>
        <v>0.4862295350360184</v>
      </c>
      <c r="R290" s="222">
        <f t="shared" si="393"/>
        <v>0.4862295350360184</v>
      </c>
      <c r="S290" s="222">
        <f t="shared" si="394"/>
        <v>12</v>
      </c>
      <c r="T290" s="222">
        <f t="shared" si="395"/>
        <v>0.88271067278586068</v>
      </c>
      <c r="U290" s="222">
        <f t="shared" si="396"/>
        <v>2.8086248679550114</v>
      </c>
      <c r="V290" s="222">
        <f t="shared" si="397"/>
        <v>3.0264365924086651</v>
      </c>
      <c r="W290" s="202">
        <f t="shared" si="398"/>
        <v>350</v>
      </c>
      <c r="X290" s="453">
        <f t="shared" si="399"/>
        <v>171.37780069546585</v>
      </c>
      <c r="Z290" s="222">
        <f t="shared" si="400"/>
        <v>0.4322200392927309</v>
      </c>
      <c r="AA290" s="178">
        <f t="shared" si="401"/>
        <v>1.4818972775750774</v>
      </c>
      <c r="AB290" s="178">
        <f t="shared" si="402"/>
        <v>0.14945132989296789</v>
      </c>
      <c r="AC290" s="178"/>
      <c r="AD290" s="178">
        <f t="shared" si="403"/>
        <v>0.99428571428571422</v>
      </c>
      <c r="AE290" s="562">
        <f t="shared" si="404"/>
        <v>1026.5556876734049</v>
      </c>
      <c r="AF290" s="545">
        <f t="shared" si="405"/>
        <v>0.10091999999999998</v>
      </c>
      <c r="AH290" s="178">
        <f t="shared" si="406"/>
        <v>0.60203735730587071</v>
      </c>
      <c r="AI290" s="178">
        <f t="shared" si="407"/>
        <v>0.88271067278586068</v>
      </c>
      <c r="AJ290" s="178">
        <f t="shared" si="408"/>
        <v>1.6390449428043412</v>
      </c>
      <c r="AL290" s="562">
        <f t="shared" si="409"/>
        <v>296</v>
      </c>
      <c r="AM290" s="471">
        <f t="shared" si="410"/>
        <v>171.37780069546585</v>
      </c>
      <c r="AO290">
        <f t="shared" si="411"/>
        <v>296</v>
      </c>
      <c r="AP290">
        <f t="shared" si="412"/>
        <v>171.37780069546585</v>
      </c>
      <c r="AR290" s="5">
        <f t="shared" si="382"/>
        <v>5.8350614603636757</v>
      </c>
      <c r="AS290" s="5">
        <f t="shared" si="361"/>
        <v>2.8086248679550114</v>
      </c>
      <c r="AT290" s="5">
        <f t="shared" si="362"/>
        <v>3.0264365924086643</v>
      </c>
      <c r="AU290" s="178">
        <f t="shared" si="363"/>
        <v>0.4813359528487231</v>
      </c>
      <c r="CD290" s="580">
        <f t="shared" si="413"/>
        <v>-50</v>
      </c>
    </row>
    <row r="291" spans="5:82" x14ac:dyDescent="0.2">
      <c r="E291" s="175">
        <v>75</v>
      </c>
      <c r="F291" s="222">
        <f t="shared" si="414"/>
        <v>0.30000000000000004</v>
      </c>
      <c r="G291" s="222">
        <f t="shared" si="383"/>
        <v>0.15000000000000002</v>
      </c>
      <c r="H291" s="222">
        <f t="shared" si="384"/>
        <v>3.6000000000000005</v>
      </c>
      <c r="I291" s="222">
        <f t="shared" si="385"/>
        <v>1.8000000000000003</v>
      </c>
      <c r="J291" s="558">
        <f t="shared" si="386"/>
        <v>26.4</v>
      </c>
      <c r="K291" s="453">
        <f t="shared" si="387"/>
        <v>24.5</v>
      </c>
      <c r="L291" s="453">
        <f t="shared" si="388"/>
        <v>50.9</v>
      </c>
      <c r="M291" s="453"/>
      <c r="N291" s="222">
        <f t="shared" si="389"/>
        <v>0.48133595284872299</v>
      </c>
      <c r="O291" s="177">
        <f t="shared" si="390"/>
        <v>5.8347544204322208</v>
      </c>
      <c r="P291" s="177">
        <f t="shared" si="391"/>
        <v>4.3760658153241652</v>
      </c>
      <c r="Q291" s="222">
        <f t="shared" si="392"/>
        <v>0.4862295350360184</v>
      </c>
      <c r="R291" s="222">
        <f t="shared" si="393"/>
        <v>0.4862295350360184</v>
      </c>
      <c r="S291" s="222">
        <f t="shared" si="394"/>
        <v>12</v>
      </c>
      <c r="T291" s="222">
        <f t="shared" si="395"/>
        <v>0.89463919539107517</v>
      </c>
      <c r="U291" s="222">
        <f t="shared" si="396"/>
        <v>2.846579258062512</v>
      </c>
      <c r="V291" s="222">
        <f t="shared" si="397"/>
        <v>3.0673343841979714</v>
      </c>
      <c r="W291" s="202">
        <f t="shared" si="398"/>
        <v>350</v>
      </c>
      <c r="X291" s="453">
        <f t="shared" si="399"/>
        <v>169.09276335285961</v>
      </c>
      <c r="Z291" s="222">
        <f t="shared" si="400"/>
        <v>0.4322200392927309</v>
      </c>
      <c r="AA291" s="178">
        <f t="shared" si="401"/>
        <v>1.4818972775750774</v>
      </c>
      <c r="AB291" s="178">
        <f t="shared" si="402"/>
        <v>0.14945132989296789</v>
      </c>
      <c r="AC291" s="178"/>
      <c r="AD291" s="178">
        <f t="shared" si="403"/>
        <v>0.99428571428571422</v>
      </c>
      <c r="AE291" s="562">
        <f t="shared" si="404"/>
        <v>1040.4280618311539</v>
      </c>
      <c r="AF291" s="545">
        <f t="shared" si="405"/>
        <v>0.10091999999999998</v>
      </c>
      <c r="AH291" s="178">
        <f t="shared" si="406"/>
        <v>0.60609152673132649</v>
      </c>
      <c r="AI291" s="178">
        <f t="shared" si="407"/>
        <v>0.89463919539107517</v>
      </c>
      <c r="AJ291" s="178">
        <f t="shared" si="408"/>
        <v>1.6478808854748705</v>
      </c>
      <c r="AL291" s="562">
        <f t="shared" si="409"/>
        <v>300.00000000000006</v>
      </c>
      <c r="AM291" s="471">
        <f t="shared" si="410"/>
        <v>169.09276335285961</v>
      </c>
      <c r="AO291">
        <f t="shared" si="411"/>
        <v>300.00000000000006</v>
      </c>
      <c r="AP291">
        <f t="shared" si="412"/>
        <v>169.09276335285961</v>
      </c>
      <c r="AR291" s="5">
        <f t="shared" si="382"/>
        <v>5.913913642260483</v>
      </c>
      <c r="AS291" s="5">
        <f t="shared" si="361"/>
        <v>2.846579258062512</v>
      </c>
      <c r="AT291" s="5">
        <f t="shared" si="362"/>
        <v>3.067334384197971</v>
      </c>
      <c r="AU291" s="178">
        <f t="shared" si="363"/>
        <v>0.4813359528487231</v>
      </c>
      <c r="CD291" s="580">
        <f t="shared" si="413"/>
        <v>-50</v>
      </c>
    </row>
    <row r="292" spans="5:82" x14ac:dyDescent="0.2">
      <c r="E292" s="175">
        <v>76</v>
      </c>
      <c r="F292" s="222">
        <f t="shared" si="414"/>
        <v>0.30400000000000005</v>
      </c>
      <c r="G292" s="222">
        <f t="shared" si="383"/>
        <v>0.15200000000000002</v>
      </c>
      <c r="H292" s="222">
        <f t="shared" si="384"/>
        <v>3.6480000000000006</v>
      </c>
      <c r="I292" s="222">
        <f t="shared" si="385"/>
        <v>1.8240000000000003</v>
      </c>
      <c r="J292" s="558">
        <f t="shared" si="386"/>
        <v>26.4</v>
      </c>
      <c r="K292" s="453">
        <f t="shared" si="387"/>
        <v>24.5</v>
      </c>
      <c r="L292" s="453">
        <f t="shared" si="388"/>
        <v>50.9</v>
      </c>
      <c r="M292" s="453"/>
      <c r="N292" s="222">
        <f t="shared" si="389"/>
        <v>0.48133595284872299</v>
      </c>
      <c r="O292" s="177">
        <f t="shared" si="390"/>
        <v>5.8347544204322208</v>
      </c>
      <c r="P292" s="177">
        <f t="shared" si="391"/>
        <v>4.3760658153241652</v>
      </c>
      <c r="Q292" s="222">
        <f t="shared" si="392"/>
        <v>0.4862295350360184</v>
      </c>
      <c r="R292" s="222">
        <f t="shared" si="393"/>
        <v>0.4862295350360184</v>
      </c>
      <c r="S292" s="222">
        <f t="shared" si="394"/>
        <v>12</v>
      </c>
      <c r="T292" s="222">
        <f t="shared" si="395"/>
        <v>0.90656771799628966</v>
      </c>
      <c r="U292" s="222">
        <f t="shared" si="396"/>
        <v>2.8845336481700126</v>
      </c>
      <c r="V292" s="222">
        <f t="shared" si="397"/>
        <v>3.1082321759872782</v>
      </c>
      <c r="W292" s="202">
        <f t="shared" si="398"/>
        <v>350</v>
      </c>
      <c r="X292" s="453">
        <f t="shared" si="399"/>
        <v>166.86785857190091</v>
      </c>
      <c r="Z292" s="222">
        <f t="shared" si="400"/>
        <v>0.4322200392927309</v>
      </c>
      <c r="AA292" s="178">
        <f t="shared" si="401"/>
        <v>1.4818972775750774</v>
      </c>
      <c r="AB292" s="178">
        <f t="shared" si="402"/>
        <v>0.14945132989296789</v>
      </c>
      <c r="AC292" s="178"/>
      <c r="AD292" s="178">
        <f t="shared" si="403"/>
        <v>0.99428571428571422</v>
      </c>
      <c r="AE292" s="562">
        <f t="shared" si="404"/>
        <v>1054.3004359889026</v>
      </c>
      <c r="AF292" s="545">
        <f t="shared" si="405"/>
        <v>0.10091999999999998</v>
      </c>
      <c r="AH292" s="178">
        <f t="shared" si="406"/>
        <v>0.61011875725893217</v>
      </c>
      <c r="AI292" s="178">
        <f t="shared" si="407"/>
        <v>0.90656771799628966</v>
      </c>
      <c r="AJ292" s="178">
        <f t="shared" si="408"/>
        <v>1.6567168281453997</v>
      </c>
      <c r="AL292" s="562">
        <f t="shared" si="409"/>
        <v>304.00000000000006</v>
      </c>
      <c r="AM292" s="471">
        <f t="shared" si="410"/>
        <v>166.86785857190091</v>
      </c>
      <c r="AO292">
        <f t="shared" si="411"/>
        <v>304.00000000000006</v>
      </c>
      <c r="AP292">
        <f t="shared" si="412"/>
        <v>166.86785857190091</v>
      </c>
      <c r="AR292" s="5">
        <f t="shared" si="382"/>
        <v>5.9927658241572903</v>
      </c>
      <c r="AS292" s="5">
        <f t="shared" si="361"/>
        <v>2.8845336481700126</v>
      </c>
      <c r="AT292" s="5">
        <f t="shared" si="362"/>
        <v>3.1082321759872777</v>
      </c>
      <c r="AU292" s="178">
        <f t="shared" si="363"/>
        <v>0.48133595284872305</v>
      </c>
      <c r="CD292" s="580">
        <f t="shared" si="413"/>
        <v>-50</v>
      </c>
    </row>
    <row r="293" spans="5:82" x14ac:dyDescent="0.2">
      <c r="E293" s="175">
        <v>77</v>
      </c>
      <c r="F293" s="222">
        <f t="shared" si="414"/>
        <v>0.30800000000000005</v>
      </c>
      <c r="G293" s="222">
        <f t="shared" si="383"/>
        <v>0.15400000000000003</v>
      </c>
      <c r="H293" s="222">
        <f t="shared" si="384"/>
        <v>3.6960000000000006</v>
      </c>
      <c r="I293" s="222">
        <f t="shared" si="385"/>
        <v>1.8480000000000003</v>
      </c>
      <c r="J293" s="558">
        <f t="shared" si="386"/>
        <v>26.4</v>
      </c>
      <c r="K293" s="453">
        <f t="shared" si="387"/>
        <v>24.5</v>
      </c>
      <c r="L293" s="453">
        <f t="shared" si="388"/>
        <v>50.9</v>
      </c>
      <c r="M293" s="453"/>
      <c r="N293" s="222">
        <f t="shared" si="389"/>
        <v>0.48133595284872299</v>
      </c>
      <c r="O293" s="177">
        <f t="shared" si="390"/>
        <v>5.8347544204322208</v>
      </c>
      <c r="P293" s="177">
        <f t="shared" si="391"/>
        <v>4.3760658153241652</v>
      </c>
      <c r="Q293" s="222">
        <f t="shared" si="392"/>
        <v>0.4862295350360184</v>
      </c>
      <c r="R293" s="222">
        <f t="shared" si="393"/>
        <v>0.4862295350360184</v>
      </c>
      <c r="S293" s="222">
        <f t="shared" si="394"/>
        <v>12</v>
      </c>
      <c r="T293" s="222">
        <f t="shared" si="395"/>
        <v>0.91849624060150381</v>
      </c>
      <c r="U293" s="222">
        <f t="shared" si="396"/>
        <v>2.9224880382775122</v>
      </c>
      <c r="V293" s="222">
        <f t="shared" si="397"/>
        <v>3.1491299677765845</v>
      </c>
      <c r="W293" s="202">
        <f t="shared" si="398"/>
        <v>350</v>
      </c>
      <c r="X293" s="453">
        <f t="shared" si="399"/>
        <v>164.70074352551259</v>
      </c>
      <c r="Z293" s="222">
        <f t="shared" si="400"/>
        <v>0.4322200392927309</v>
      </c>
      <c r="AA293" s="178">
        <f t="shared" si="401"/>
        <v>1.4818972775750774</v>
      </c>
      <c r="AB293" s="178">
        <f t="shared" si="402"/>
        <v>0.14945132989296789</v>
      </c>
      <c r="AC293" s="178"/>
      <c r="AD293" s="178">
        <f t="shared" si="403"/>
        <v>0.99428571428571422</v>
      </c>
      <c r="AE293" s="562">
        <f t="shared" si="404"/>
        <v>1068.1728101466513</v>
      </c>
      <c r="AF293" s="545">
        <f t="shared" si="405"/>
        <v>0.10091999999999998</v>
      </c>
      <c r="AH293" s="178">
        <f t="shared" si="406"/>
        <v>0.61411957886299084</v>
      </c>
      <c r="AI293" s="178">
        <f t="shared" si="407"/>
        <v>0.91849624060150381</v>
      </c>
      <c r="AJ293" s="178">
        <f t="shared" si="408"/>
        <v>1.6655527708159288</v>
      </c>
      <c r="AL293" s="562">
        <f t="shared" si="409"/>
        <v>308.00000000000006</v>
      </c>
      <c r="AM293" s="471">
        <f t="shared" si="410"/>
        <v>164.70074352551259</v>
      </c>
      <c r="AO293">
        <f t="shared" si="411"/>
        <v>308.00000000000006</v>
      </c>
      <c r="AP293">
        <f t="shared" si="412"/>
        <v>164.70074352551259</v>
      </c>
      <c r="AR293" s="5">
        <f t="shared" si="382"/>
        <v>6.0716180060540976</v>
      </c>
      <c r="AS293" s="5">
        <f t="shared" si="361"/>
        <v>2.9224880382775122</v>
      </c>
      <c r="AT293" s="5">
        <f t="shared" si="362"/>
        <v>3.1491299677765854</v>
      </c>
      <c r="AU293" s="178">
        <f t="shared" si="363"/>
        <v>0.48133595284872294</v>
      </c>
      <c r="CD293" s="580">
        <f t="shared" si="413"/>
        <v>-50</v>
      </c>
    </row>
    <row r="294" spans="5:82" x14ac:dyDescent="0.2">
      <c r="E294" s="175">
        <v>78</v>
      </c>
      <c r="F294" s="222">
        <f t="shared" si="414"/>
        <v>0.31200000000000006</v>
      </c>
      <c r="G294" s="222">
        <f t="shared" si="383"/>
        <v>0.15600000000000003</v>
      </c>
      <c r="H294" s="222">
        <f t="shared" si="384"/>
        <v>3.7440000000000007</v>
      </c>
      <c r="I294" s="222">
        <f t="shared" si="385"/>
        <v>1.8720000000000003</v>
      </c>
      <c r="J294" s="558">
        <f t="shared" si="386"/>
        <v>26.4</v>
      </c>
      <c r="K294" s="453">
        <f t="shared" si="387"/>
        <v>24.5</v>
      </c>
      <c r="L294" s="453">
        <f t="shared" si="388"/>
        <v>50.9</v>
      </c>
      <c r="M294" s="453"/>
      <c r="N294" s="222">
        <f t="shared" si="389"/>
        <v>0.48133595284872299</v>
      </c>
      <c r="O294" s="177">
        <f t="shared" si="390"/>
        <v>5.8347544204322208</v>
      </c>
      <c r="P294" s="177">
        <f t="shared" si="391"/>
        <v>4.3760658153241652</v>
      </c>
      <c r="Q294" s="222">
        <f t="shared" si="392"/>
        <v>0.4862295350360184</v>
      </c>
      <c r="R294" s="222">
        <f t="shared" si="393"/>
        <v>0.4862295350360184</v>
      </c>
      <c r="S294" s="222">
        <f t="shared" si="394"/>
        <v>12</v>
      </c>
      <c r="T294" s="222">
        <f t="shared" si="395"/>
        <v>0.93042476320671841</v>
      </c>
      <c r="U294" s="222">
        <f t="shared" si="396"/>
        <v>2.9604424283850133</v>
      </c>
      <c r="V294" s="222">
        <f t="shared" si="397"/>
        <v>3.1900277595658917</v>
      </c>
      <c r="W294" s="202">
        <f t="shared" si="398"/>
        <v>350</v>
      </c>
      <c r="X294" s="453">
        <f t="shared" si="399"/>
        <v>162.58919553159572</v>
      </c>
      <c r="Z294" s="222">
        <f t="shared" si="400"/>
        <v>0.4322200392927309</v>
      </c>
      <c r="AA294" s="178">
        <f t="shared" si="401"/>
        <v>1.4818972775750774</v>
      </c>
      <c r="AB294" s="178">
        <f t="shared" si="402"/>
        <v>0.14945132989296789</v>
      </c>
      <c r="AC294" s="178"/>
      <c r="AD294" s="178">
        <f t="shared" si="403"/>
        <v>0.99428571428571422</v>
      </c>
      <c r="AE294" s="562">
        <f t="shared" si="404"/>
        <v>1082.0451843044</v>
      </c>
      <c r="AF294" s="545">
        <f t="shared" si="405"/>
        <v>0.10091999999999998</v>
      </c>
      <c r="AH294" s="178">
        <f t="shared" si="406"/>
        <v>0.61809450436525537</v>
      </c>
      <c r="AI294" s="178">
        <f t="shared" si="407"/>
        <v>0.93042476320671841</v>
      </c>
      <c r="AJ294" s="178">
        <f t="shared" si="408"/>
        <v>1.6743887134864579</v>
      </c>
      <c r="AL294" s="562">
        <f t="shared" si="409"/>
        <v>312.00000000000006</v>
      </c>
      <c r="AM294" s="471">
        <f t="shared" si="410"/>
        <v>162.58919553159572</v>
      </c>
      <c r="AO294">
        <f t="shared" si="411"/>
        <v>312.00000000000006</v>
      </c>
      <c r="AP294">
        <f t="shared" si="412"/>
        <v>162.58919553159572</v>
      </c>
      <c r="AR294" s="5">
        <f t="shared" si="382"/>
        <v>6.1504701879509049</v>
      </c>
      <c r="AS294" s="5">
        <f t="shared" si="361"/>
        <v>2.9604424283850133</v>
      </c>
      <c r="AT294" s="5">
        <f t="shared" si="362"/>
        <v>3.1900277595658917</v>
      </c>
      <c r="AU294" s="178">
        <f t="shared" si="363"/>
        <v>0.48133595284872299</v>
      </c>
      <c r="CD294" s="580">
        <f t="shared" si="413"/>
        <v>-50</v>
      </c>
    </row>
    <row r="295" spans="5:82" x14ac:dyDescent="0.2">
      <c r="E295" s="175">
        <v>79</v>
      </c>
      <c r="F295" s="222">
        <f t="shared" si="414"/>
        <v>0.31600000000000006</v>
      </c>
      <c r="G295" s="222">
        <f t="shared" si="383"/>
        <v>0.15800000000000003</v>
      </c>
      <c r="H295" s="222">
        <f t="shared" si="384"/>
        <v>3.7920000000000007</v>
      </c>
      <c r="I295" s="222">
        <f t="shared" si="385"/>
        <v>1.8960000000000004</v>
      </c>
      <c r="J295" s="558">
        <f t="shared" si="386"/>
        <v>26.4</v>
      </c>
      <c r="K295" s="453">
        <f t="shared" si="387"/>
        <v>24.5</v>
      </c>
      <c r="L295" s="453">
        <f t="shared" si="388"/>
        <v>50.9</v>
      </c>
      <c r="M295" s="453"/>
      <c r="N295" s="222">
        <f t="shared" si="389"/>
        <v>0.48133595284872299</v>
      </c>
      <c r="O295" s="177">
        <f t="shared" si="390"/>
        <v>5.8347544204322208</v>
      </c>
      <c r="P295" s="177">
        <f t="shared" si="391"/>
        <v>4.3760658153241652</v>
      </c>
      <c r="Q295" s="222">
        <f t="shared" si="392"/>
        <v>0.4862295350360184</v>
      </c>
      <c r="R295" s="222">
        <f t="shared" si="393"/>
        <v>0.4862295350360184</v>
      </c>
      <c r="S295" s="222">
        <f t="shared" si="394"/>
        <v>12</v>
      </c>
      <c r="T295" s="222">
        <f t="shared" si="395"/>
        <v>0.94235328581193256</v>
      </c>
      <c r="U295" s="222">
        <f t="shared" si="396"/>
        <v>2.9983968184925125</v>
      </c>
      <c r="V295" s="222">
        <f t="shared" si="397"/>
        <v>3.2309255513551967</v>
      </c>
      <c r="W295" s="202">
        <f t="shared" si="398"/>
        <v>350</v>
      </c>
      <c r="X295" s="453">
        <f t="shared" si="399"/>
        <v>160.53110444891735</v>
      </c>
      <c r="Z295" s="222">
        <f t="shared" si="400"/>
        <v>0.4322200392927309</v>
      </c>
      <c r="AA295" s="178">
        <f t="shared" si="401"/>
        <v>1.4818972775750774</v>
      </c>
      <c r="AB295" s="178">
        <f t="shared" si="402"/>
        <v>0.14945132989296789</v>
      </c>
      <c r="AC295" s="178"/>
      <c r="AD295" s="178">
        <f t="shared" si="403"/>
        <v>0.99428571428571422</v>
      </c>
      <c r="AE295" s="562">
        <f t="shared" si="404"/>
        <v>1095.9175584621487</v>
      </c>
      <c r="AF295" s="545">
        <f t="shared" si="405"/>
        <v>0.10091999999999998</v>
      </c>
      <c r="AH295" s="178">
        <f t="shared" si="406"/>
        <v>0.622044030202207</v>
      </c>
      <c r="AI295" s="178">
        <f t="shared" si="407"/>
        <v>0.94235328581193256</v>
      </c>
      <c r="AJ295" s="178">
        <f t="shared" si="408"/>
        <v>1.683224656156987</v>
      </c>
      <c r="AL295" s="562">
        <f t="shared" si="409"/>
        <v>316.00000000000006</v>
      </c>
      <c r="AM295" s="471">
        <f t="shared" si="410"/>
        <v>160.53110444891735</v>
      </c>
      <c r="AO295">
        <f t="shared" si="411"/>
        <v>316.00000000000006</v>
      </c>
      <c r="AP295">
        <f t="shared" si="412"/>
        <v>160.53110444891735</v>
      </c>
      <c r="AR295" s="5">
        <f t="shared" si="382"/>
        <v>6.2293223698477096</v>
      </c>
      <c r="AS295" s="5">
        <f t="shared" si="361"/>
        <v>2.9983968184925125</v>
      </c>
      <c r="AT295" s="5">
        <f t="shared" si="362"/>
        <v>3.2309255513551971</v>
      </c>
      <c r="AU295" s="178">
        <f t="shared" si="363"/>
        <v>0.48133595284872299</v>
      </c>
      <c r="CD295" s="580">
        <f t="shared" si="413"/>
        <v>-50</v>
      </c>
    </row>
    <row r="296" spans="5:82" x14ac:dyDescent="0.2">
      <c r="E296" s="175">
        <v>80</v>
      </c>
      <c r="F296" s="222">
        <f t="shared" si="414"/>
        <v>0.32000000000000006</v>
      </c>
      <c r="G296" s="222">
        <f t="shared" si="383"/>
        <v>0.16000000000000003</v>
      </c>
      <c r="H296" s="222">
        <f t="shared" si="384"/>
        <v>3.8400000000000007</v>
      </c>
      <c r="I296" s="222">
        <f t="shared" si="385"/>
        <v>1.9200000000000004</v>
      </c>
      <c r="J296" s="558">
        <f t="shared" si="386"/>
        <v>26.4</v>
      </c>
      <c r="K296" s="453">
        <f t="shared" si="387"/>
        <v>24.5</v>
      </c>
      <c r="L296" s="453">
        <f t="shared" si="388"/>
        <v>50.9</v>
      </c>
      <c r="M296" s="453"/>
      <c r="N296" s="222">
        <f t="shared" si="389"/>
        <v>0.48133595284872299</v>
      </c>
      <c r="O296" s="177">
        <f t="shared" si="390"/>
        <v>5.8347544204322208</v>
      </c>
      <c r="P296" s="177">
        <f t="shared" si="391"/>
        <v>4.3760658153241652</v>
      </c>
      <c r="Q296" s="222">
        <f t="shared" si="392"/>
        <v>0.4862295350360184</v>
      </c>
      <c r="R296" s="222">
        <f t="shared" si="393"/>
        <v>0.4862295350360184</v>
      </c>
      <c r="S296" s="222">
        <f t="shared" si="394"/>
        <v>12</v>
      </c>
      <c r="T296" s="222">
        <f t="shared" si="395"/>
        <v>0.95428180841714705</v>
      </c>
      <c r="U296" s="222">
        <f t="shared" si="396"/>
        <v>3.0363512086000131</v>
      </c>
      <c r="V296" s="222">
        <f t="shared" si="397"/>
        <v>3.2718233431445038</v>
      </c>
      <c r="W296" s="202">
        <f t="shared" si="398"/>
        <v>350</v>
      </c>
      <c r="X296" s="453">
        <f t="shared" si="399"/>
        <v>158.52446564330586</v>
      </c>
      <c r="Z296" s="222">
        <f t="shared" si="400"/>
        <v>0.4322200392927309</v>
      </c>
      <c r="AA296" s="178">
        <f t="shared" si="401"/>
        <v>1.4818972775750774</v>
      </c>
      <c r="AB296" s="178">
        <f t="shared" si="402"/>
        <v>0.14945132989296789</v>
      </c>
      <c r="AC296" s="178"/>
      <c r="AD296" s="178">
        <f t="shared" si="403"/>
        <v>0.99428571428571422</v>
      </c>
      <c r="AE296" s="562">
        <f t="shared" si="404"/>
        <v>1109.7899326198974</v>
      </c>
      <c r="AF296" s="545">
        <f t="shared" si="405"/>
        <v>0.10091999999999998</v>
      </c>
      <c r="AH296" s="178">
        <f t="shared" si="406"/>
        <v>0.62596863714876139</v>
      </c>
      <c r="AI296" s="178">
        <f t="shared" si="407"/>
        <v>0.95428180841714705</v>
      </c>
      <c r="AJ296" s="178">
        <f t="shared" si="408"/>
        <v>1.6920605988275164</v>
      </c>
      <c r="AL296" s="562">
        <f t="shared" si="409"/>
        <v>320.00000000000006</v>
      </c>
      <c r="AM296" s="471">
        <f t="shared" si="410"/>
        <v>158.52446564330586</v>
      </c>
      <c r="AO296">
        <f t="shared" si="411"/>
        <v>320.00000000000006</v>
      </c>
      <c r="AP296">
        <f t="shared" si="412"/>
        <v>158.52446564330586</v>
      </c>
      <c r="AR296" s="5">
        <f t="shared" si="382"/>
        <v>6.3081745517445169</v>
      </c>
      <c r="AS296" s="5">
        <f t="shared" si="361"/>
        <v>3.0363512086000131</v>
      </c>
      <c r="AT296" s="5">
        <f t="shared" si="362"/>
        <v>3.2718233431445038</v>
      </c>
      <c r="AU296" s="178">
        <f t="shared" si="363"/>
        <v>0.48133595284872299</v>
      </c>
      <c r="CD296" s="580">
        <f t="shared" si="413"/>
        <v>-50</v>
      </c>
    </row>
    <row r="297" spans="5:82" x14ac:dyDescent="0.2">
      <c r="E297" s="175">
        <v>81</v>
      </c>
      <c r="F297" s="222">
        <f t="shared" si="414"/>
        <v>0.32400000000000007</v>
      </c>
      <c r="G297" s="222">
        <f t="shared" si="383"/>
        <v>0.16200000000000003</v>
      </c>
      <c r="H297" s="222">
        <f t="shared" si="384"/>
        <v>3.8880000000000008</v>
      </c>
      <c r="I297" s="222">
        <f t="shared" si="385"/>
        <v>1.9440000000000004</v>
      </c>
      <c r="J297" s="558">
        <f t="shared" si="386"/>
        <v>26.4</v>
      </c>
      <c r="K297" s="453">
        <f t="shared" si="387"/>
        <v>24.5</v>
      </c>
      <c r="L297" s="453">
        <f t="shared" si="388"/>
        <v>50.9</v>
      </c>
      <c r="M297" s="453"/>
      <c r="N297" s="222">
        <f t="shared" si="389"/>
        <v>0.48133595284872299</v>
      </c>
      <c r="O297" s="177">
        <f t="shared" si="390"/>
        <v>5.8347544204322208</v>
      </c>
      <c r="P297" s="177">
        <f t="shared" si="391"/>
        <v>4.3760658153241652</v>
      </c>
      <c r="Q297" s="222">
        <f t="shared" si="392"/>
        <v>0.4862295350360184</v>
      </c>
      <c r="R297" s="222">
        <f t="shared" si="393"/>
        <v>0.4862295350360184</v>
      </c>
      <c r="S297" s="222">
        <f t="shared" si="394"/>
        <v>12</v>
      </c>
      <c r="T297" s="222">
        <f t="shared" si="395"/>
        <v>0.9662103310223612</v>
      </c>
      <c r="U297" s="222">
        <f t="shared" si="396"/>
        <v>3.0743055987075127</v>
      </c>
      <c r="V297" s="222">
        <f t="shared" si="397"/>
        <v>3.3127211349338097</v>
      </c>
      <c r="W297" s="202">
        <f t="shared" si="398"/>
        <v>350</v>
      </c>
      <c r="X297" s="453">
        <f t="shared" si="399"/>
        <v>156.56737347487001</v>
      </c>
      <c r="Z297" s="222">
        <f t="shared" si="400"/>
        <v>0.4322200392927309</v>
      </c>
      <c r="AA297" s="178">
        <f t="shared" si="401"/>
        <v>1.4818972775750774</v>
      </c>
      <c r="AB297" s="178">
        <f t="shared" si="402"/>
        <v>0.14945132989296789</v>
      </c>
      <c r="AC297" s="178"/>
      <c r="AD297" s="178">
        <f t="shared" si="403"/>
        <v>0.99428571428571422</v>
      </c>
      <c r="AE297" s="562">
        <f t="shared" si="404"/>
        <v>1123.6623067776461</v>
      </c>
      <c r="AF297" s="545">
        <f t="shared" si="405"/>
        <v>0.10091999999999998</v>
      </c>
      <c r="AH297" s="178">
        <f t="shared" si="406"/>
        <v>0.62986879100138871</v>
      </c>
      <c r="AI297" s="178">
        <f t="shared" si="407"/>
        <v>0.9662103310223612</v>
      </c>
      <c r="AJ297" s="178">
        <f t="shared" si="408"/>
        <v>1.7008965414980453</v>
      </c>
      <c r="AL297" s="562">
        <f t="shared" si="409"/>
        <v>324.00000000000006</v>
      </c>
      <c r="AM297" s="471">
        <f t="shared" si="410"/>
        <v>156.56737347487001</v>
      </c>
      <c r="AO297">
        <f t="shared" si="411"/>
        <v>324.00000000000006</v>
      </c>
      <c r="AP297">
        <f t="shared" si="412"/>
        <v>156.56737347487001</v>
      </c>
      <c r="AR297" s="5">
        <f t="shared" si="382"/>
        <v>6.3870267336413225</v>
      </c>
      <c r="AS297" s="5">
        <f t="shared" si="361"/>
        <v>3.0743055987075127</v>
      </c>
      <c r="AT297" s="5">
        <f t="shared" si="362"/>
        <v>3.3127211349338097</v>
      </c>
      <c r="AU297" s="178">
        <f t="shared" si="363"/>
        <v>0.48133595284872299</v>
      </c>
      <c r="CD297" s="580">
        <f t="shared" si="413"/>
        <v>-50</v>
      </c>
    </row>
    <row r="298" spans="5:82" x14ac:dyDescent="0.2">
      <c r="E298" s="175">
        <v>82</v>
      </c>
      <c r="F298" s="222">
        <f t="shared" si="414"/>
        <v>0.32800000000000001</v>
      </c>
      <c r="G298" s="222">
        <f t="shared" si="383"/>
        <v>0.16400000000000001</v>
      </c>
      <c r="H298" s="222">
        <f t="shared" si="384"/>
        <v>3.9359999999999999</v>
      </c>
      <c r="I298" s="222">
        <f t="shared" si="385"/>
        <v>1.968</v>
      </c>
      <c r="J298" s="558">
        <f t="shared" si="386"/>
        <v>26.4</v>
      </c>
      <c r="K298" s="453">
        <f t="shared" si="387"/>
        <v>24.5</v>
      </c>
      <c r="L298" s="453">
        <f t="shared" si="388"/>
        <v>50.9</v>
      </c>
      <c r="M298" s="453"/>
      <c r="N298" s="222">
        <f t="shared" si="389"/>
        <v>0.48133595284872299</v>
      </c>
      <c r="O298" s="177">
        <f t="shared" si="390"/>
        <v>5.8347544204322208</v>
      </c>
      <c r="P298" s="177">
        <f t="shared" si="391"/>
        <v>4.3760658153241652</v>
      </c>
      <c r="Q298" s="222">
        <f t="shared" si="392"/>
        <v>0.4862295350360184</v>
      </c>
      <c r="R298" s="222">
        <f t="shared" si="393"/>
        <v>0.4862295350360184</v>
      </c>
      <c r="S298" s="222">
        <f t="shared" si="394"/>
        <v>12</v>
      </c>
      <c r="T298" s="222">
        <f t="shared" si="395"/>
        <v>0.97813885362757547</v>
      </c>
      <c r="U298" s="222">
        <f t="shared" si="396"/>
        <v>3.1122599888150129</v>
      </c>
      <c r="V298" s="222">
        <f t="shared" si="397"/>
        <v>3.353618926723116</v>
      </c>
      <c r="W298" s="202">
        <f t="shared" si="398"/>
        <v>350</v>
      </c>
      <c r="X298" s="453">
        <f t="shared" si="399"/>
        <v>154.65801526176185</v>
      </c>
      <c r="Z298" s="222">
        <f t="shared" si="400"/>
        <v>0.4322200392927309</v>
      </c>
      <c r="AA298" s="178">
        <f t="shared" si="401"/>
        <v>1.4818972775750774</v>
      </c>
      <c r="AB298" s="178">
        <f t="shared" si="402"/>
        <v>0.14945132989296789</v>
      </c>
      <c r="AC298" s="178"/>
      <c r="AD298" s="178">
        <f t="shared" si="403"/>
        <v>0.99428571428571422</v>
      </c>
      <c r="AE298" s="562">
        <f t="shared" si="404"/>
        <v>1137.5346809353948</v>
      </c>
      <c r="AF298" s="545">
        <f t="shared" si="405"/>
        <v>0.10091999999999998</v>
      </c>
      <c r="AH298" s="178">
        <f t="shared" si="406"/>
        <v>0.63374494322339525</v>
      </c>
      <c r="AI298" s="178">
        <f t="shared" si="407"/>
        <v>0.97813885362757547</v>
      </c>
      <c r="AJ298" s="178">
        <f t="shared" si="408"/>
        <v>1.7097324841685744</v>
      </c>
      <c r="AL298" s="562">
        <f t="shared" si="409"/>
        <v>328</v>
      </c>
      <c r="AM298" s="471">
        <f t="shared" si="410"/>
        <v>154.65801526176185</v>
      </c>
      <c r="AO298">
        <f t="shared" si="411"/>
        <v>328</v>
      </c>
      <c r="AP298">
        <f t="shared" si="412"/>
        <v>154.65801526176185</v>
      </c>
      <c r="AR298" s="5">
        <f t="shared" si="382"/>
        <v>6.465878915538128</v>
      </c>
      <c r="AS298" s="5">
        <f t="shared" si="361"/>
        <v>3.1122599888150129</v>
      </c>
      <c r="AT298" s="5">
        <f t="shared" si="362"/>
        <v>3.3536189267231151</v>
      </c>
      <c r="AU298" s="178">
        <f t="shared" si="363"/>
        <v>0.48133595284872305</v>
      </c>
      <c r="CD298" s="580">
        <f t="shared" si="413"/>
        <v>-50</v>
      </c>
    </row>
    <row r="299" spans="5:82" x14ac:dyDescent="0.2">
      <c r="E299" s="175">
        <v>83</v>
      </c>
      <c r="F299" s="222">
        <f t="shared" si="414"/>
        <v>0.33200000000000002</v>
      </c>
      <c r="G299" s="222">
        <f t="shared" si="383"/>
        <v>0.16600000000000001</v>
      </c>
      <c r="H299" s="222">
        <f t="shared" si="384"/>
        <v>3.984</v>
      </c>
      <c r="I299" s="222">
        <f t="shared" si="385"/>
        <v>1.992</v>
      </c>
      <c r="J299" s="558">
        <f t="shared" si="386"/>
        <v>26.4</v>
      </c>
      <c r="K299" s="453">
        <f t="shared" si="387"/>
        <v>24.5</v>
      </c>
      <c r="L299" s="453">
        <f t="shared" si="388"/>
        <v>50.9</v>
      </c>
      <c r="M299" s="453"/>
      <c r="N299" s="222">
        <f t="shared" si="389"/>
        <v>0.48133595284872299</v>
      </c>
      <c r="O299" s="177">
        <f t="shared" si="390"/>
        <v>5.8347544204322208</v>
      </c>
      <c r="P299" s="177">
        <f t="shared" si="391"/>
        <v>4.3760658153241652</v>
      </c>
      <c r="Q299" s="222">
        <f t="shared" si="392"/>
        <v>0.4862295350360184</v>
      </c>
      <c r="R299" s="222">
        <f t="shared" si="393"/>
        <v>0.4862295350360184</v>
      </c>
      <c r="S299" s="222">
        <f t="shared" si="394"/>
        <v>12</v>
      </c>
      <c r="T299" s="222">
        <f t="shared" si="395"/>
        <v>0.99006737623278984</v>
      </c>
      <c r="U299" s="222">
        <f t="shared" si="396"/>
        <v>3.150214378922513</v>
      </c>
      <c r="V299" s="222">
        <f t="shared" si="397"/>
        <v>3.3945167185124223</v>
      </c>
      <c r="W299" s="202">
        <f t="shared" si="398"/>
        <v>350</v>
      </c>
      <c r="X299" s="453">
        <f t="shared" si="399"/>
        <v>152.79466568029483</v>
      </c>
      <c r="Z299" s="222">
        <f t="shared" si="400"/>
        <v>0.4322200392927309</v>
      </c>
      <c r="AA299" s="178">
        <f t="shared" si="401"/>
        <v>1.4818972775750774</v>
      </c>
      <c r="AB299" s="178">
        <f t="shared" si="402"/>
        <v>0.14945132989296789</v>
      </c>
      <c r="AC299" s="178"/>
      <c r="AD299" s="178">
        <f t="shared" si="403"/>
        <v>0.99428571428571422</v>
      </c>
      <c r="AE299" s="562">
        <f t="shared" si="404"/>
        <v>1151.4070550931433</v>
      </c>
      <c r="AF299" s="545">
        <f t="shared" si="405"/>
        <v>0.10091999999999998</v>
      </c>
      <c r="AH299" s="178">
        <f t="shared" si="406"/>
        <v>0.63759753155489707</v>
      </c>
      <c r="AI299" s="178">
        <f t="shared" si="407"/>
        <v>0.99006737623278984</v>
      </c>
      <c r="AJ299" s="178">
        <f t="shared" si="408"/>
        <v>1.7185684268391035</v>
      </c>
      <c r="AL299" s="562">
        <f t="shared" si="409"/>
        <v>332</v>
      </c>
      <c r="AM299" s="471">
        <f t="shared" si="410"/>
        <v>152.79466568029483</v>
      </c>
      <c r="AO299">
        <f t="shared" si="411"/>
        <v>332</v>
      </c>
      <c r="AP299">
        <f t="shared" si="412"/>
        <v>152.79466568029483</v>
      </c>
      <c r="AR299" s="5">
        <f t="shared" si="382"/>
        <v>6.5447310974349353</v>
      </c>
      <c r="AS299" s="5">
        <f t="shared" si="361"/>
        <v>3.150214378922513</v>
      </c>
      <c r="AT299" s="5">
        <f t="shared" si="362"/>
        <v>3.3945167185124223</v>
      </c>
      <c r="AU299" s="178">
        <f t="shared" si="363"/>
        <v>0.48133595284872299</v>
      </c>
      <c r="CD299" s="580">
        <f t="shared" si="413"/>
        <v>-50</v>
      </c>
    </row>
    <row r="300" spans="5:82" x14ac:dyDescent="0.2">
      <c r="E300" s="175">
        <v>84</v>
      </c>
      <c r="F300" s="222">
        <f t="shared" si="414"/>
        <v>0.33600000000000002</v>
      </c>
      <c r="G300" s="222">
        <f t="shared" si="383"/>
        <v>0.16800000000000001</v>
      </c>
      <c r="H300" s="222">
        <f t="shared" si="384"/>
        <v>4.032</v>
      </c>
      <c r="I300" s="222">
        <f t="shared" si="385"/>
        <v>2.016</v>
      </c>
      <c r="J300" s="558">
        <f t="shared" si="386"/>
        <v>26.4</v>
      </c>
      <c r="K300" s="453">
        <f t="shared" si="387"/>
        <v>24.5</v>
      </c>
      <c r="L300" s="453">
        <f t="shared" si="388"/>
        <v>50.9</v>
      </c>
      <c r="M300" s="453"/>
      <c r="N300" s="222">
        <f t="shared" si="389"/>
        <v>0.48133595284872299</v>
      </c>
      <c r="O300" s="177">
        <f t="shared" si="390"/>
        <v>5.8347544204322208</v>
      </c>
      <c r="P300" s="177">
        <f t="shared" si="391"/>
        <v>4.3760658153241652</v>
      </c>
      <c r="Q300" s="222">
        <f t="shared" si="392"/>
        <v>0.4862295350360184</v>
      </c>
      <c r="R300" s="222">
        <f t="shared" si="393"/>
        <v>0.4862295350360184</v>
      </c>
      <c r="S300" s="222">
        <f t="shared" si="394"/>
        <v>12</v>
      </c>
      <c r="T300" s="222">
        <f t="shared" si="395"/>
        <v>1.0019958988380042</v>
      </c>
      <c r="U300" s="222">
        <f t="shared" si="396"/>
        <v>3.1881687690300136</v>
      </c>
      <c r="V300" s="222">
        <f t="shared" si="397"/>
        <v>3.4354145103017286</v>
      </c>
      <c r="W300" s="202">
        <f t="shared" si="398"/>
        <v>350</v>
      </c>
      <c r="X300" s="453">
        <f t="shared" si="399"/>
        <v>150.97568156505324</v>
      </c>
      <c r="Z300" s="222">
        <f t="shared" si="400"/>
        <v>0.4322200392927309</v>
      </c>
      <c r="AA300" s="178">
        <f t="shared" si="401"/>
        <v>1.4818972775750774</v>
      </c>
      <c r="AB300" s="178">
        <f t="shared" si="402"/>
        <v>0.14945132989296789</v>
      </c>
      <c r="AC300" s="178"/>
      <c r="AD300" s="178">
        <f t="shared" si="403"/>
        <v>0.99428571428571422</v>
      </c>
      <c r="AE300" s="562">
        <f t="shared" si="404"/>
        <v>1165.2794292508922</v>
      </c>
      <c r="AF300" s="545">
        <f t="shared" si="405"/>
        <v>0.10091999999999998</v>
      </c>
      <c r="AH300" s="178">
        <f t="shared" si="406"/>
        <v>0.64142698058981851</v>
      </c>
      <c r="AI300" s="178">
        <f t="shared" si="407"/>
        <v>1.0019958988380042</v>
      </c>
      <c r="AJ300" s="178">
        <f t="shared" si="408"/>
        <v>1.7274043695096326</v>
      </c>
      <c r="AL300" s="562">
        <f t="shared" si="409"/>
        <v>336</v>
      </c>
      <c r="AM300" s="471">
        <f t="shared" si="410"/>
        <v>150.97568156505324</v>
      </c>
      <c r="AO300">
        <f t="shared" si="411"/>
        <v>336</v>
      </c>
      <c r="AP300">
        <f t="shared" si="412"/>
        <v>150.97568156505324</v>
      </c>
      <c r="AR300" s="5">
        <f t="shared" si="382"/>
        <v>6.6235832793317417</v>
      </c>
      <c r="AS300" s="5">
        <f t="shared" si="361"/>
        <v>3.1881687690300136</v>
      </c>
      <c r="AT300" s="5">
        <f t="shared" si="362"/>
        <v>3.4354145103017282</v>
      </c>
      <c r="AU300" s="178">
        <f t="shared" si="363"/>
        <v>0.48133595284872305</v>
      </c>
      <c r="CD300" s="580">
        <f t="shared" si="413"/>
        <v>-50</v>
      </c>
    </row>
    <row r="301" spans="5:82" x14ac:dyDescent="0.2">
      <c r="E301" s="175">
        <v>85</v>
      </c>
      <c r="F301" s="222">
        <f t="shared" si="414"/>
        <v>0.34</v>
      </c>
      <c r="G301" s="222">
        <f t="shared" si="383"/>
        <v>0.17</v>
      </c>
      <c r="H301" s="222">
        <f t="shared" si="384"/>
        <v>4.08</v>
      </c>
      <c r="I301" s="222">
        <f t="shared" si="385"/>
        <v>2.04</v>
      </c>
      <c r="J301" s="558">
        <f t="shared" si="386"/>
        <v>26.4</v>
      </c>
      <c r="K301" s="453">
        <f t="shared" si="387"/>
        <v>24.5</v>
      </c>
      <c r="L301" s="453">
        <f t="shared" si="388"/>
        <v>50.9</v>
      </c>
      <c r="M301" s="453"/>
      <c r="N301" s="222">
        <f t="shared" si="389"/>
        <v>0.48133595284872299</v>
      </c>
      <c r="O301" s="177">
        <f t="shared" si="390"/>
        <v>5.8347544204322208</v>
      </c>
      <c r="P301" s="177">
        <f t="shared" si="391"/>
        <v>4.3760658153241652</v>
      </c>
      <c r="Q301" s="222">
        <f t="shared" si="392"/>
        <v>0.4862295350360184</v>
      </c>
      <c r="R301" s="222">
        <f t="shared" si="393"/>
        <v>0.4862295350360184</v>
      </c>
      <c r="S301" s="222">
        <f t="shared" si="394"/>
        <v>12</v>
      </c>
      <c r="T301" s="222">
        <f t="shared" si="395"/>
        <v>1.0139244214432184</v>
      </c>
      <c r="U301" s="222">
        <f t="shared" si="396"/>
        <v>3.2261231591375128</v>
      </c>
      <c r="V301" s="222">
        <f t="shared" si="397"/>
        <v>3.4763123020910345</v>
      </c>
      <c r="W301" s="202">
        <f t="shared" si="398"/>
        <v>350</v>
      </c>
      <c r="X301" s="453">
        <f t="shared" si="399"/>
        <v>149.19949707605264</v>
      </c>
      <c r="Z301" s="222">
        <f t="shared" si="400"/>
        <v>0.4322200392927309</v>
      </c>
      <c r="AA301" s="178">
        <f t="shared" si="401"/>
        <v>1.4818972775750774</v>
      </c>
      <c r="AB301" s="178">
        <f t="shared" si="402"/>
        <v>0.14945132989296789</v>
      </c>
      <c r="AC301" s="178"/>
      <c r="AD301" s="178">
        <f t="shared" si="403"/>
        <v>0.99428571428571422</v>
      </c>
      <c r="AE301" s="562">
        <f t="shared" si="404"/>
        <v>1179.1518034086409</v>
      </c>
      <c r="AF301" s="545">
        <f t="shared" si="405"/>
        <v>0.10091999999999998</v>
      </c>
      <c r="AH301" s="178">
        <f t="shared" si="406"/>
        <v>0.64523370232206945</v>
      </c>
      <c r="AI301" s="178">
        <f t="shared" si="407"/>
        <v>1.0139244214432184</v>
      </c>
      <c r="AJ301" s="178">
        <f t="shared" si="408"/>
        <v>1.7362403121801617</v>
      </c>
      <c r="AL301" s="562">
        <f t="shared" si="409"/>
        <v>340</v>
      </c>
      <c r="AM301" s="471">
        <f t="shared" si="410"/>
        <v>149.19949707605264</v>
      </c>
      <c r="AO301">
        <f t="shared" si="411"/>
        <v>340</v>
      </c>
      <c r="AP301">
        <f t="shared" si="412"/>
        <v>149.19949707605264</v>
      </c>
      <c r="AR301" s="5">
        <f t="shared" si="382"/>
        <v>6.7024354612285464</v>
      </c>
      <c r="AS301" s="5">
        <f t="shared" si="361"/>
        <v>3.2261231591375128</v>
      </c>
      <c r="AT301" s="5">
        <f t="shared" si="362"/>
        <v>3.4763123020910336</v>
      </c>
      <c r="AU301" s="178">
        <f t="shared" si="363"/>
        <v>0.48133595284872305</v>
      </c>
      <c r="CD301" s="580">
        <f t="shared" si="413"/>
        <v>-50</v>
      </c>
    </row>
    <row r="302" spans="5:82" x14ac:dyDescent="0.2">
      <c r="E302" s="175">
        <v>86</v>
      </c>
      <c r="F302" s="222">
        <f t="shared" si="414"/>
        <v>0.34400000000000003</v>
      </c>
      <c r="G302" s="222">
        <f t="shared" si="383"/>
        <v>0.17200000000000001</v>
      </c>
      <c r="H302" s="222">
        <f t="shared" si="384"/>
        <v>4.1280000000000001</v>
      </c>
      <c r="I302" s="222">
        <f t="shared" si="385"/>
        <v>2.0640000000000001</v>
      </c>
      <c r="J302" s="558">
        <f t="shared" si="386"/>
        <v>26.4</v>
      </c>
      <c r="K302" s="453">
        <f t="shared" si="387"/>
        <v>24.5</v>
      </c>
      <c r="L302" s="453">
        <f t="shared" si="388"/>
        <v>50.9</v>
      </c>
      <c r="M302" s="453"/>
      <c r="N302" s="222">
        <f t="shared" si="389"/>
        <v>0.48133595284872299</v>
      </c>
      <c r="O302" s="177">
        <f t="shared" si="390"/>
        <v>5.8347544204322208</v>
      </c>
      <c r="P302" s="177">
        <f t="shared" si="391"/>
        <v>4.3760658153241652</v>
      </c>
      <c r="Q302" s="222">
        <f t="shared" si="392"/>
        <v>0.4862295350360184</v>
      </c>
      <c r="R302" s="222">
        <f t="shared" si="393"/>
        <v>0.4862295350360184</v>
      </c>
      <c r="S302" s="222">
        <f t="shared" si="394"/>
        <v>12</v>
      </c>
      <c r="T302" s="222">
        <f t="shared" si="395"/>
        <v>1.0258529440484327</v>
      </c>
      <c r="U302" s="222">
        <f t="shared" si="396"/>
        <v>3.2640775492450138</v>
      </c>
      <c r="V302" s="222">
        <f t="shared" si="397"/>
        <v>3.5172100938803408</v>
      </c>
      <c r="W302" s="202">
        <f t="shared" si="398"/>
        <v>350</v>
      </c>
      <c r="X302" s="453">
        <f t="shared" si="399"/>
        <v>147.46461920307524</v>
      </c>
      <c r="Z302" s="222">
        <f t="shared" si="400"/>
        <v>0.4322200392927309</v>
      </c>
      <c r="AA302" s="178">
        <f t="shared" si="401"/>
        <v>1.4818972775750774</v>
      </c>
      <c r="AB302" s="178">
        <f t="shared" si="402"/>
        <v>0.14945132989296789</v>
      </c>
      <c r="AC302" s="178"/>
      <c r="AD302" s="178">
        <f t="shared" si="403"/>
        <v>0.99428571428571422</v>
      </c>
      <c r="AE302" s="562">
        <f t="shared" si="404"/>
        <v>1193.0241775663897</v>
      </c>
      <c r="AF302" s="545">
        <f t="shared" si="405"/>
        <v>0.10091999999999998</v>
      </c>
      <c r="AH302" s="178">
        <f t="shared" si="406"/>
        <v>0.64901809666288846</v>
      </c>
      <c r="AI302" s="178">
        <f t="shared" si="407"/>
        <v>1.0258529440484327</v>
      </c>
      <c r="AJ302" s="178">
        <f t="shared" si="408"/>
        <v>1.7450762548506908</v>
      </c>
      <c r="AL302" s="562">
        <f t="shared" si="409"/>
        <v>344</v>
      </c>
      <c r="AM302" s="471">
        <f t="shared" si="410"/>
        <v>147.46461920307524</v>
      </c>
      <c r="AO302">
        <f t="shared" si="411"/>
        <v>344</v>
      </c>
      <c r="AP302">
        <f t="shared" si="412"/>
        <v>147.46461920307524</v>
      </c>
      <c r="AR302" s="5">
        <f t="shared" si="382"/>
        <v>6.7812876431253546</v>
      </c>
      <c r="AS302" s="5">
        <f t="shared" si="361"/>
        <v>3.2640775492450138</v>
      </c>
      <c r="AT302" s="5">
        <f t="shared" si="362"/>
        <v>3.5172100938803408</v>
      </c>
      <c r="AU302" s="178">
        <f t="shared" si="363"/>
        <v>0.48133595284872305</v>
      </c>
      <c r="CD302" s="580">
        <f t="shared" si="413"/>
        <v>-50</v>
      </c>
    </row>
    <row r="303" spans="5:82" x14ac:dyDescent="0.2">
      <c r="E303" s="175">
        <v>87</v>
      </c>
      <c r="F303" s="222">
        <f t="shared" si="414"/>
        <v>0.34800000000000003</v>
      </c>
      <c r="G303" s="222">
        <f t="shared" si="383"/>
        <v>0.17400000000000002</v>
      </c>
      <c r="H303" s="222">
        <f t="shared" si="384"/>
        <v>4.1760000000000002</v>
      </c>
      <c r="I303" s="222">
        <f t="shared" si="385"/>
        <v>2.0880000000000001</v>
      </c>
      <c r="J303" s="558">
        <f t="shared" si="386"/>
        <v>26.4</v>
      </c>
      <c r="K303" s="453">
        <f t="shared" si="387"/>
        <v>24.5</v>
      </c>
      <c r="L303" s="453">
        <f t="shared" si="388"/>
        <v>50.9</v>
      </c>
      <c r="M303" s="453"/>
      <c r="N303" s="222">
        <f t="shared" si="389"/>
        <v>0.48133595284872299</v>
      </c>
      <c r="O303" s="177">
        <f t="shared" si="390"/>
        <v>5.8347544204322208</v>
      </c>
      <c r="P303" s="177">
        <f t="shared" si="391"/>
        <v>4.3760658153241652</v>
      </c>
      <c r="Q303" s="222">
        <f t="shared" si="392"/>
        <v>0.4862295350360184</v>
      </c>
      <c r="R303" s="222">
        <f t="shared" si="393"/>
        <v>0.4862295350360184</v>
      </c>
      <c r="S303" s="222">
        <f t="shared" si="394"/>
        <v>12</v>
      </c>
      <c r="T303" s="222">
        <f t="shared" si="395"/>
        <v>1.0377814666536471</v>
      </c>
      <c r="U303" s="222">
        <f t="shared" si="396"/>
        <v>3.3020319393525139</v>
      </c>
      <c r="V303" s="222">
        <f t="shared" si="397"/>
        <v>3.5581078856696471</v>
      </c>
      <c r="W303" s="202">
        <f t="shared" si="398"/>
        <v>350</v>
      </c>
      <c r="X303" s="453">
        <f t="shared" si="399"/>
        <v>145.76962358005139</v>
      </c>
      <c r="Z303" s="222">
        <f t="shared" si="400"/>
        <v>0.4322200392927309</v>
      </c>
      <c r="AA303" s="178">
        <f t="shared" si="401"/>
        <v>1.4818972775750774</v>
      </c>
      <c r="AB303" s="178">
        <f t="shared" si="402"/>
        <v>0.14945132989296789</v>
      </c>
      <c r="AC303" s="178"/>
      <c r="AD303" s="178">
        <f t="shared" si="403"/>
        <v>0.99428571428571422</v>
      </c>
      <c r="AE303" s="562">
        <f t="shared" si="404"/>
        <v>1206.8965517241384</v>
      </c>
      <c r="AF303" s="545">
        <f t="shared" si="405"/>
        <v>0.10091999999999998</v>
      </c>
      <c r="AH303" s="178">
        <f t="shared" si="406"/>
        <v>0.65278055193119222</v>
      </c>
      <c r="AI303" s="178">
        <f t="shared" si="407"/>
        <v>1.0377814666536471</v>
      </c>
      <c r="AJ303" s="178">
        <f t="shared" si="408"/>
        <v>1.75391219752122</v>
      </c>
      <c r="AL303" s="562">
        <f t="shared" si="409"/>
        <v>348.00000000000006</v>
      </c>
      <c r="AM303" s="471">
        <f t="shared" si="410"/>
        <v>145.76962358005139</v>
      </c>
      <c r="AO303">
        <f t="shared" si="411"/>
        <v>348.00000000000006</v>
      </c>
      <c r="AP303">
        <f t="shared" si="412"/>
        <v>145.76962358005139</v>
      </c>
      <c r="AR303" s="5">
        <f t="shared" si="382"/>
        <v>6.860139825022161</v>
      </c>
      <c r="AS303" s="5">
        <f t="shared" si="361"/>
        <v>3.3020319393525139</v>
      </c>
      <c r="AT303" s="5">
        <f t="shared" si="362"/>
        <v>3.5581078856696471</v>
      </c>
      <c r="AU303" s="178">
        <f t="shared" si="363"/>
        <v>0.48133595284872305</v>
      </c>
      <c r="CD303" s="580">
        <f t="shared" si="413"/>
        <v>-50</v>
      </c>
    </row>
    <row r="304" spans="5:82" x14ac:dyDescent="0.2">
      <c r="E304" s="175">
        <v>88</v>
      </c>
      <c r="F304" s="222">
        <f t="shared" si="414"/>
        <v>0.35200000000000004</v>
      </c>
      <c r="G304" s="222">
        <f t="shared" si="383"/>
        <v>0.17600000000000002</v>
      </c>
      <c r="H304" s="222">
        <f t="shared" si="384"/>
        <v>4.2240000000000002</v>
      </c>
      <c r="I304" s="222">
        <f t="shared" si="385"/>
        <v>2.1120000000000001</v>
      </c>
      <c r="J304" s="558">
        <f t="shared" si="386"/>
        <v>26.4</v>
      </c>
      <c r="K304" s="453">
        <f t="shared" si="387"/>
        <v>24.5</v>
      </c>
      <c r="L304" s="453">
        <f t="shared" si="388"/>
        <v>50.9</v>
      </c>
      <c r="M304" s="453"/>
      <c r="N304" s="222">
        <f t="shared" si="389"/>
        <v>0.48133595284872299</v>
      </c>
      <c r="O304" s="177">
        <f t="shared" si="390"/>
        <v>5.8347544204322208</v>
      </c>
      <c r="P304" s="177">
        <f t="shared" si="391"/>
        <v>4.3760658153241652</v>
      </c>
      <c r="Q304" s="222">
        <f t="shared" si="392"/>
        <v>0.4862295350360184</v>
      </c>
      <c r="R304" s="222">
        <f t="shared" si="393"/>
        <v>0.4862295350360184</v>
      </c>
      <c r="S304" s="222">
        <f t="shared" si="394"/>
        <v>12</v>
      </c>
      <c r="T304" s="222">
        <f t="shared" si="395"/>
        <v>1.0497099892588615</v>
      </c>
      <c r="U304" s="222">
        <f t="shared" si="396"/>
        <v>3.3399863294600141</v>
      </c>
      <c r="V304" s="222">
        <f t="shared" si="397"/>
        <v>3.5990056774589534</v>
      </c>
      <c r="W304" s="202">
        <f t="shared" si="398"/>
        <v>350</v>
      </c>
      <c r="X304" s="453">
        <f t="shared" si="399"/>
        <v>144.11315058482353</v>
      </c>
      <c r="Z304" s="222">
        <f t="shared" si="400"/>
        <v>0.4322200392927309</v>
      </c>
      <c r="AA304" s="178">
        <f t="shared" si="401"/>
        <v>1.4818972775750774</v>
      </c>
      <c r="AB304" s="178">
        <f t="shared" si="402"/>
        <v>0.14945132989296789</v>
      </c>
      <c r="AC304" s="178"/>
      <c r="AD304" s="178">
        <f t="shared" si="403"/>
        <v>0.99428571428571422</v>
      </c>
      <c r="AE304" s="562">
        <f t="shared" si="404"/>
        <v>1220.7689258818871</v>
      </c>
      <c r="AF304" s="545">
        <f t="shared" si="405"/>
        <v>0.10091999999999998</v>
      </c>
      <c r="AH304" s="178">
        <f t="shared" si="406"/>
        <v>0.65652144531863188</v>
      </c>
      <c r="AI304" s="178">
        <f t="shared" si="407"/>
        <v>1.0497099892588615</v>
      </c>
      <c r="AJ304" s="178">
        <f t="shared" si="408"/>
        <v>1.7627481401917491</v>
      </c>
      <c r="AL304" s="562">
        <f t="shared" si="409"/>
        <v>352.00000000000006</v>
      </c>
      <c r="AM304" s="471">
        <f t="shared" si="410"/>
        <v>144.11315058482353</v>
      </c>
      <c r="AO304">
        <f t="shared" si="411"/>
        <v>352.00000000000006</v>
      </c>
      <c r="AP304">
        <f t="shared" si="412"/>
        <v>144.11315058482353</v>
      </c>
      <c r="AR304" s="5">
        <f t="shared" si="382"/>
        <v>6.9389920069189674</v>
      </c>
      <c r="AS304" s="5">
        <f t="shared" si="361"/>
        <v>3.3399863294600141</v>
      </c>
      <c r="AT304" s="5">
        <f t="shared" si="362"/>
        <v>3.5990056774589534</v>
      </c>
      <c r="AU304" s="178">
        <f t="shared" si="363"/>
        <v>0.48133595284872305</v>
      </c>
      <c r="CD304" s="580">
        <f t="shared" si="413"/>
        <v>-50</v>
      </c>
    </row>
    <row r="305" spans="5:82" x14ac:dyDescent="0.2">
      <c r="E305" s="175">
        <v>89</v>
      </c>
      <c r="F305" s="222">
        <f t="shared" si="414"/>
        <v>0.35600000000000004</v>
      </c>
      <c r="G305" s="222">
        <f t="shared" si="383"/>
        <v>0.17800000000000002</v>
      </c>
      <c r="H305" s="222">
        <f t="shared" si="384"/>
        <v>4.2720000000000002</v>
      </c>
      <c r="I305" s="222">
        <f t="shared" si="385"/>
        <v>2.1360000000000001</v>
      </c>
      <c r="J305" s="558">
        <f t="shared" si="386"/>
        <v>26.4</v>
      </c>
      <c r="K305" s="453">
        <f t="shared" si="387"/>
        <v>24.5</v>
      </c>
      <c r="L305" s="453">
        <f t="shared" si="388"/>
        <v>50.9</v>
      </c>
      <c r="M305" s="453"/>
      <c r="N305" s="222">
        <f t="shared" si="389"/>
        <v>0.48133595284872299</v>
      </c>
      <c r="O305" s="177">
        <f t="shared" si="390"/>
        <v>5.8347544204322208</v>
      </c>
      <c r="P305" s="177">
        <f t="shared" si="391"/>
        <v>4.3760658153241652</v>
      </c>
      <c r="Q305" s="222">
        <f t="shared" si="392"/>
        <v>0.4862295350360184</v>
      </c>
      <c r="R305" s="222">
        <f t="shared" si="393"/>
        <v>0.4862295350360184</v>
      </c>
      <c r="S305" s="222">
        <f t="shared" si="394"/>
        <v>12</v>
      </c>
      <c r="T305" s="222">
        <f t="shared" si="395"/>
        <v>1.0616385118640759</v>
      </c>
      <c r="U305" s="222">
        <f t="shared" si="396"/>
        <v>3.3779407195675142</v>
      </c>
      <c r="V305" s="222">
        <f t="shared" si="397"/>
        <v>3.6399034692482597</v>
      </c>
      <c r="W305" s="202">
        <f t="shared" si="398"/>
        <v>350</v>
      </c>
      <c r="X305" s="453">
        <f t="shared" si="399"/>
        <v>142.49390170184799</v>
      </c>
      <c r="Z305" s="222">
        <f t="shared" si="400"/>
        <v>0.4322200392927309</v>
      </c>
      <c r="AA305" s="178">
        <f t="shared" si="401"/>
        <v>1.4818972775750774</v>
      </c>
      <c r="AB305" s="178">
        <f t="shared" si="402"/>
        <v>0.14945132989296789</v>
      </c>
      <c r="AC305" s="178"/>
      <c r="AD305" s="178">
        <f t="shared" si="403"/>
        <v>0.99428571428571422</v>
      </c>
      <c r="AE305" s="562">
        <f t="shared" si="404"/>
        <v>1234.6413000396358</v>
      </c>
      <c r="AF305" s="545">
        <f t="shared" si="405"/>
        <v>0.10091999999999998</v>
      </c>
      <c r="AH305" s="178">
        <f t="shared" si="406"/>
        <v>0.66024114333093398</v>
      </c>
      <c r="AI305" s="178">
        <f t="shared" si="407"/>
        <v>1.0616385118640759</v>
      </c>
      <c r="AJ305" s="178">
        <f t="shared" si="408"/>
        <v>1.7715840828622782</v>
      </c>
      <c r="AL305" s="562">
        <f t="shared" si="409"/>
        <v>356.00000000000006</v>
      </c>
      <c r="AM305" s="471">
        <f t="shared" si="410"/>
        <v>142.49390170184799</v>
      </c>
      <c r="AO305">
        <f t="shared" si="411"/>
        <v>356.00000000000006</v>
      </c>
      <c r="AP305">
        <f t="shared" si="412"/>
        <v>142.49390170184799</v>
      </c>
      <c r="AR305" s="5">
        <f t="shared" si="382"/>
        <v>7.017844188815773</v>
      </c>
      <c r="AS305" s="5">
        <f t="shared" si="361"/>
        <v>3.3779407195675142</v>
      </c>
      <c r="AT305" s="5">
        <f t="shared" si="362"/>
        <v>3.6399034692482588</v>
      </c>
      <c r="AU305" s="178">
        <f t="shared" si="363"/>
        <v>0.4813359528487231</v>
      </c>
      <c r="CD305" s="580">
        <f t="shared" si="413"/>
        <v>-50</v>
      </c>
    </row>
    <row r="306" spans="5:82" x14ac:dyDescent="0.2">
      <c r="E306" s="175">
        <v>90</v>
      </c>
      <c r="F306" s="222">
        <f t="shared" si="414"/>
        <v>0.36000000000000004</v>
      </c>
      <c r="G306" s="222">
        <f t="shared" si="383"/>
        <v>0.18000000000000002</v>
      </c>
      <c r="H306" s="222">
        <f t="shared" si="384"/>
        <v>4.32</v>
      </c>
      <c r="I306" s="222">
        <f t="shared" si="385"/>
        <v>2.16</v>
      </c>
      <c r="J306" s="558">
        <f t="shared" si="386"/>
        <v>26.4</v>
      </c>
      <c r="K306" s="453">
        <f t="shared" si="387"/>
        <v>24.5</v>
      </c>
      <c r="L306" s="453">
        <f t="shared" si="388"/>
        <v>50.9</v>
      </c>
      <c r="M306" s="453"/>
      <c r="N306" s="222">
        <f t="shared" si="389"/>
        <v>0.48133595284872299</v>
      </c>
      <c r="O306" s="177">
        <f t="shared" si="390"/>
        <v>5.8347544204322208</v>
      </c>
      <c r="P306" s="177">
        <f t="shared" si="391"/>
        <v>4.3760658153241652</v>
      </c>
      <c r="Q306" s="222">
        <f t="shared" si="392"/>
        <v>0.4862295350360184</v>
      </c>
      <c r="R306" s="222">
        <f t="shared" si="393"/>
        <v>0.4862295350360184</v>
      </c>
      <c r="S306" s="222">
        <f t="shared" si="394"/>
        <v>12</v>
      </c>
      <c r="T306" s="222">
        <f t="shared" si="395"/>
        <v>1.0735670344692902</v>
      </c>
      <c r="U306" s="222">
        <f t="shared" si="396"/>
        <v>3.4158951096750143</v>
      </c>
      <c r="V306" s="222">
        <f t="shared" si="397"/>
        <v>3.680801261037566</v>
      </c>
      <c r="W306" s="202">
        <f t="shared" si="398"/>
        <v>350</v>
      </c>
      <c r="X306" s="453">
        <f t="shared" si="399"/>
        <v>140.91063612738299</v>
      </c>
      <c r="Z306" s="222">
        <f t="shared" si="400"/>
        <v>0.4322200392927309</v>
      </c>
      <c r="AA306" s="178">
        <f t="shared" si="401"/>
        <v>1.4818972775750774</v>
      </c>
      <c r="AB306" s="178">
        <f t="shared" si="402"/>
        <v>0.14945132989296789</v>
      </c>
      <c r="AC306" s="178"/>
      <c r="AD306" s="178">
        <f t="shared" si="403"/>
        <v>0.99428571428571422</v>
      </c>
      <c r="AE306" s="562">
        <f t="shared" si="404"/>
        <v>1248.5136741973847</v>
      </c>
      <c r="AF306" s="545">
        <f t="shared" si="405"/>
        <v>0.10091999999999998</v>
      </c>
      <c r="AH306" s="178">
        <f t="shared" si="406"/>
        <v>0.66394000220698579</v>
      </c>
      <c r="AI306" s="178">
        <f t="shared" si="407"/>
        <v>1.0735670344692902</v>
      </c>
      <c r="AJ306" s="178">
        <f t="shared" si="408"/>
        <v>1.7804200255328073</v>
      </c>
      <c r="AL306" s="562">
        <f t="shared" si="409"/>
        <v>360.00000000000006</v>
      </c>
      <c r="AM306" s="471">
        <f t="shared" si="410"/>
        <v>140.91063612738299</v>
      </c>
      <c r="AO306">
        <f t="shared" si="411"/>
        <v>360.00000000000006</v>
      </c>
      <c r="AP306">
        <f t="shared" si="412"/>
        <v>140.91063612738299</v>
      </c>
      <c r="AR306" s="5">
        <f t="shared" si="382"/>
        <v>7.0966963707125821</v>
      </c>
      <c r="AS306" s="5">
        <f t="shared" si="361"/>
        <v>3.4158951096750143</v>
      </c>
      <c r="AT306" s="5">
        <f t="shared" si="362"/>
        <v>3.6808012610375678</v>
      </c>
      <c r="AU306" s="178">
        <f t="shared" si="363"/>
        <v>0.48133595284872288</v>
      </c>
      <c r="CD306" s="580">
        <f t="shared" si="413"/>
        <v>-50</v>
      </c>
    </row>
    <row r="307" spans="5:82" x14ac:dyDescent="0.2">
      <c r="E307" s="175">
        <v>91</v>
      </c>
      <c r="F307" s="222">
        <f t="shared" si="414"/>
        <v>0.36400000000000005</v>
      </c>
      <c r="G307" s="222">
        <f t="shared" si="383"/>
        <v>0.18200000000000002</v>
      </c>
      <c r="H307" s="222">
        <f t="shared" si="384"/>
        <v>4.3680000000000003</v>
      </c>
      <c r="I307" s="222">
        <f t="shared" si="385"/>
        <v>2.1840000000000002</v>
      </c>
      <c r="J307" s="558">
        <f t="shared" si="386"/>
        <v>26.4</v>
      </c>
      <c r="K307" s="453">
        <f t="shared" si="387"/>
        <v>24.5</v>
      </c>
      <c r="L307" s="453">
        <f t="shared" si="388"/>
        <v>50.9</v>
      </c>
      <c r="M307" s="453"/>
      <c r="N307" s="222">
        <f t="shared" si="389"/>
        <v>0.48133595284872299</v>
      </c>
      <c r="O307" s="177">
        <f t="shared" si="390"/>
        <v>5.8347544204322208</v>
      </c>
      <c r="P307" s="177">
        <f t="shared" si="391"/>
        <v>4.3760658153241652</v>
      </c>
      <c r="Q307" s="222">
        <f t="shared" si="392"/>
        <v>0.4862295350360184</v>
      </c>
      <c r="R307" s="222">
        <f t="shared" si="393"/>
        <v>0.4862295350360184</v>
      </c>
      <c r="S307" s="222">
        <f t="shared" si="394"/>
        <v>12</v>
      </c>
      <c r="T307" s="222">
        <f t="shared" si="395"/>
        <v>1.0854955570745046</v>
      </c>
      <c r="U307" s="222">
        <f t="shared" si="396"/>
        <v>3.4538494997825149</v>
      </c>
      <c r="V307" s="222">
        <f t="shared" si="397"/>
        <v>3.7216990528268727</v>
      </c>
      <c r="W307" s="202">
        <f t="shared" si="398"/>
        <v>350</v>
      </c>
      <c r="X307" s="453">
        <f t="shared" si="399"/>
        <v>139.36216759851064</v>
      </c>
      <c r="Z307" s="222">
        <f t="shared" si="400"/>
        <v>0.4322200392927309</v>
      </c>
      <c r="AA307" s="178">
        <f t="shared" si="401"/>
        <v>1.4818972775750774</v>
      </c>
      <c r="AB307" s="178">
        <f t="shared" si="402"/>
        <v>0.14945132989296789</v>
      </c>
      <c r="AC307" s="178"/>
      <c r="AD307" s="178">
        <f t="shared" si="403"/>
        <v>0.99428571428571422</v>
      </c>
      <c r="AE307" s="562">
        <f t="shared" si="404"/>
        <v>1262.3860483551332</v>
      </c>
      <c r="AF307" s="545">
        <f t="shared" si="405"/>
        <v>0.10091999999999998</v>
      </c>
      <c r="AH307" s="178">
        <f t="shared" si="406"/>
        <v>0.66761836831702415</v>
      </c>
      <c r="AI307" s="178">
        <f t="shared" si="407"/>
        <v>1.0854955570745046</v>
      </c>
      <c r="AJ307" s="178">
        <f t="shared" si="408"/>
        <v>1.7892559682033367</v>
      </c>
      <c r="AL307" s="562">
        <f t="shared" si="409"/>
        <v>364.00000000000006</v>
      </c>
      <c r="AM307" s="471">
        <f t="shared" si="410"/>
        <v>139.36216759851064</v>
      </c>
      <c r="AO307">
        <f t="shared" si="411"/>
        <v>364.00000000000006</v>
      </c>
      <c r="AP307">
        <f t="shared" si="412"/>
        <v>139.36216759851064</v>
      </c>
      <c r="AR307" s="5">
        <f t="shared" si="382"/>
        <v>7.1755485526093885</v>
      </c>
      <c r="AS307" s="5">
        <f t="shared" ref="AS307:AS316" si="415">L*AI307/J307*1000000</f>
        <v>3.4538494997825149</v>
      </c>
      <c r="AT307" s="5">
        <f t="shared" ref="AT307:AT316" si="416">AR307-AS307</f>
        <v>3.7216990528268736</v>
      </c>
      <c r="AU307" s="178">
        <f t="shared" ref="AU307:AU316" si="417">AS307/AR307</f>
        <v>0.48133595284872294</v>
      </c>
      <c r="CD307" s="580">
        <f t="shared" si="413"/>
        <v>-50</v>
      </c>
    </row>
    <row r="308" spans="5:82" x14ac:dyDescent="0.2">
      <c r="E308" s="175">
        <v>92</v>
      </c>
      <c r="F308" s="222">
        <f t="shared" si="414"/>
        <v>0.36800000000000005</v>
      </c>
      <c r="G308" s="222">
        <f t="shared" si="383"/>
        <v>0.18400000000000002</v>
      </c>
      <c r="H308" s="222">
        <f t="shared" si="384"/>
        <v>4.4160000000000004</v>
      </c>
      <c r="I308" s="222">
        <f t="shared" si="385"/>
        <v>2.2080000000000002</v>
      </c>
      <c r="J308" s="558">
        <f t="shared" si="386"/>
        <v>26.4</v>
      </c>
      <c r="K308" s="453">
        <f t="shared" si="387"/>
        <v>24.5</v>
      </c>
      <c r="L308" s="453">
        <f t="shared" si="388"/>
        <v>50.9</v>
      </c>
      <c r="M308" s="453"/>
      <c r="N308" s="222">
        <f t="shared" si="389"/>
        <v>0.48133595284872299</v>
      </c>
      <c r="O308" s="177">
        <f t="shared" si="390"/>
        <v>5.8347544204322208</v>
      </c>
      <c r="P308" s="177">
        <f t="shared" si="391"/>
        <v>4.3760658153241652</v>
      </c>
      <c r="Q308" s="222">
        <f t="shared" si="392"/>
        <v>0.4862295350360184</v>
      </c>
      <c r="R308" s="222">
        <f t="shared" si="393"/>
        <v>0.4862295350360184</v>
      </c>
      <c r="S308" s="222">
        <f t="shared" si="394"/>
        <v>12</v>
      </c>
      <c r="T308" s="222">
        <f t="shared" si="395"/>
        <v>1.097424079679719</v>
      </c>
      <c r="U308" s="222">
        <f t="shared" si="396"/>
        <v>3.491803889890015</v>
      </c>
      <c r="V308" s="222">
        <f t="shared" si="397"/>
        <v>3.7625968446161795</v>
      </c>
      <c r="W308" s="202">
        <f t="shared" si="398"/>
        <v>350</v>
      </c>
      <c r="X308" s="453">
        <f t="shared" si="399"/>
        <v>137.84736142896162</v>
      </c>
      <c r="Z308" s="222">
        <f t="shared" si="400"/>
        <v>0.4322200392927309</v>
      </c>
      <c r="AA308" s="178">
        <f t="shared" si="401"/>
        <v>1.4818972775750774</v>
      </c>
      <c r="AB308" s="178">
        <f t="shared" si="402"/>
        <v>0.14945132989296789</v>
      </c>
      <c r="AC308" s="178"/>
      <c r="AD308" s="178">
        <f t="shared" si="403"/>
        <v>0.99428571428571422</v>
      </c>
      <c r="AE308" s="562">
        <f t="shared" si="404"/>
        <v>1276.2584225128819</v>
      </c>
      <c r="AF308" s="545">
        <f t="shared" si="405"/>
        <v>0.10091999999999998</v>
      </c>
      <c r="AH308" s="178">
        <f t="shared" si="406"/>
        <v>0.67127657854118461</v>
      </c>
      <c r="AI308" s="178">
        <f t="shared" si="407"/>
        <v>1.097424079679719</v>
      </c>
      <c r="AJ308" s="178">
        <f t="shared" si="408"/>
        <v>1.7980919108738658</v>
      </c>
      <c r="AL308" s="562">
        <f t="shared" si="409"/>
        <v>368.00000000000006</v>
      </c>
      <c r="AM308" s="471">
        <f t="shared" si="410"/>
        <v>137.84736142896162</v>
      </c>
      <c r="AO308">
        <f t="shared" si="411"/>
        <v>368.00000000000006</v>
      </c>
      <c r="AP308">
        <f t="shared" si="412"/>
        <v>137.84736142896162</v>
      </c>
      <c r="AR308" s="5">
        <f t="shared" si="382"/>
        <v>7.254400734506194</v>
      </c>
      <c r="AS308" s="5">
        <f t="shared" si="415"/>
        <v>3.491803889890015</v>
      </c>
      <c r="AT308" s="5">
        <f t="shared" si="416"/>
        <v>3.762596844616179</v>
      </c>
      <c r="AU308" s="178">
        <f t="shared" si="417"/>
        <v>0.48133595284872299</v>
      </c>
      <c r="CD308" s="580">
        <f t="shared" si="413"/>
        <v>-50</v>
      </c>
    </row>
    <row r="309" spans="5:82" x14ac:dyDescent="0.2">
      <c r="E309" s="175">
        <v>93</v>
      </c>
      <c r="F309" s="222">
        <f t="shared" si="414"/>
        <v>0.37200000000000005</v>
      </c>
      <c r="G309" s="222">
        <f t="shared" si="383"/>
        <v>0.18600000000000003</v>
      </c>
      <c r="H309" s="222">
        <f t="shared" si="384"/>
        <v>4.4640000000000004</v>
      </c>
      <c r="I309" s="222">
        <f t="shared" si="385"/>
        <v>2.2320000000000002</v>
      </c>
      <c r="J309" s="558">
        <f t="shared" si="386"/>
        <v>26.4</v>
      </c>
      <c r="K309" s="453">
        <f t="shared" si="387"/>
        <v>24.5</v>
      </c>
      <c r="L309" s="453">
        <f t="shared" si="388"/>
        <v>50.9</v>
      </c>
      <c r="M309" s="453"/>
      <c r="N309" s="222">
        <f t="shared" si="389"/>
        <v>0.48133595284872299</v>
      </c>
      <c r="O309" s="177">
        <f t="shared" si="390"/>
        <v>5.8347544204322208</v>
      </c>
      <c r="P309" s="177">
        <f t="shared" si="391"/>
        <v>4.3760658153241652</v>
      </c>
      <c r="Q309" s="222">
        <f t="shared" si="392"/>
        <v>0.4862295350360184</v>
      </c>
      <c r="R309" s="222">
        <f t="shared" si="393"/>
        <v>0.4862295350360184</v>
      </c>
      <c r="S309" s="222">
        <f t="shared" si="394"/>
        <v>12</v>
      </c>
      <c r="T309" s="222">
        <f t="shared" si="395"/>
        <v>1.1093526022849332</v>
      </c>
      <c r="U309" s="222">
        <f t="shared" si="396"/>
        <v>3.5297582799975147</v>
      </c>
      <c r="V309" s="222">
        <f t="shared" si="397"/>
        <v>3.8034946364054849</v>
      </c>
      <c r="W309" s="202">
        <f t="shared" si="398"/>
        <v>350</v>
      </c>
      <c r="X309" s="453">
        <f t="shared" si="399"/>
        <v>136.36513173617712</v>
      </c>
      <c r="Z309" s="222">
        <f t="shared" si="400"/>
        <v>0.4322200392927309</v>
      </c>
      <c r="AA309" s="178">
        <f t="shared" si="401"/>
        <v>1.4818972775750774</v>
      </c>
      <c r="AB309" s="178">
        <f t="shared" si="402"/>
        <v>0.14945132989296789</v>
      </c>
      <c r="AC309" s="178"/>
      <c r="AD309" s="178">
        <f t="shared" si="403"/>
        <v>0.99428571428571422</v>
      </c>
      <c r="AE309" s="562">
        <f t="shared" si="404"/>
        <v>1290.1307966706308</v>
      </c>
      <c r="AF309" s="545">
        <f t="shared" si="405"/>
        <v>0.10091999999999998</v>
      </c>
      <c r="AH309" s="178">
        <f t="shared" si="406"/>
        <v>0.67491496062958389</v>
      </c>
      <c r="AI309" s="178">
        <f t="shared" si="407"/>
        <v>1.1093526022849332</v>
      </c>
      <c r="AJ309" s="178">
        <f t="shared" si="408"/>
        <v>1.8069278535443949</v>
      </c>
      <c r="AL309" s="562">
        <f t="shared" si="409"/>
        <v>372.00000000000006</v>
      </c>
      <c r="AM309" s="471">
        <f t="shared" si="410"/>
        <v>136.36513173617712</v>
      </c>
      <c r="AO309">
        <f t="shared" si="411"/>
        <v>372.00000000000006</v>
      </c>
      <c r="AP309">
        <f t="shared" si="412"/>
        <v>136.36513173617712</v>
      </c>
      <c r="AR309" s="5">
        <f t="shared" si="382"/>
        <v>7.3332529164029987</v>
      </c>
      <c r="AS309" s="5">
        <f t="shared" si="415"/>
        <v>3.5297582799975147</v>
      </c>
      <c r="AT309" s="5">
        <f t="shared" si="416"/>
        <v>3.803494636405484</v>
      </c>
      <c r="AU309" s="178">
        <f t="shared" si="417"/>
        <v>0.48133595284872305</v>
      </c>
      <c r="CD309" s="580">
        <f t="shared" si="413"/>
        <v>-50</v>
      </c>
    </row>
    <row r="310" spans="5:82" x14ac:dyDescent="0.2">
      <c r="E310" s="175">
        <v>94</v>
      </c>
      <c r="F310" s="222">
        <f t="shared" si="414"/>
        <v>0.376</v>
      </c>
      <c r="G310" s="222">
        <f t="shared" si="383"/>
        <v>0.188</v>
      </c>
      <c r="H310" s="222">
        <f t="shared" si="384"/>
        <v>4.5120000000000005</v>
      </c>
      <c r="I310" s="222">
        <f t="shared" si="385"/>
        <v>2.2560000000000002</v>
      </c>
      <c r="J310" s="558">
        <f t="shared" si="386"/>
        <v>26.4</v>
      </c>
      <c r="K310" s="453">
        <f t="shared" si="387"/>
        <v>24.5</v>
      </c>
      <c r="L310" s="453">
        <f t="shared" si="388"/>
        <v>50.9</v>
      </c>
      <c r="M310" s="453"/>
      <c r="N310" s="222">
        <f t="shared" si="389"/>
        <v>0.48133595284872299</v>
      </c>
      <c r="O310" s="177">
        <f t="shared" si="390"/>
        <v>5.8347544204322208</v>
      </c>
      <c r="P310" s="177">
        <f t="shared" si="391"/>
        <v>4.3760658153241652</v>
      </c>
      <c r="Q310" s="222">
        <f t="shared" si="392"/>
        <v>0.4862295350360184</v>
      </c>
      <c r="R310" s="222">
        <f t="shared" si="393"/>
        <v>0.4862295350360184</v>
      </c>
      <c r="S310" s="222">
        <f t="shared" si="394"/>
        <v>12</v>
      </c>
      <c r="T310" s="222">
        <f t="shared" si="395"/>
        <v>1.1212811248901475</v>
      </c>
      <c r="U310" s="222">
        <f t="shared" si="396"/>
        <v>3.5677126701050148</v>
      </c>
      <c r="V310" s="222">
        <f t="shared" si="397"/>
        <v>3.8443924281947912</v>
      </c>
      <c r="W310" s="202">
        <f t="shared" si="398"/>
        <v>350</v>
      </c>
      <c r="X310" s="453">
        <f t="shared" si="399"/>
        <v>134.91443884536673</v>
      </c>
      <c r="Z310" s="222">
        <f t="shared" si="400"/>
        <v>0.4322200392927309</v>
      </c>
      <c r="AA310" s="178">
        <f t="shared" si="401"/>
        <v>1.4818972775750774</v>
      </c>
      <c r="AB310" s="178">
        <f t="shared" si="402"/>
        <v>0.14945132989296789</v>
      </c>
      <c r="AC310" s="178"/>
      <c r="AD310" s="178">
        <f t="shared" si="403"/>
        <v>0.99428571428571422</v>
      </c>
      <c r="AE310" s="562">
        <f t="shared" si="404"/>
        <v>1304.0031708283793</v>
      </c>
      <c r="AF310" s="545">
        <f t="shared" si="405"/>
        <v>0.10091999999999998</v>
      </c>
      <c r="AH310" s="178">
        <f t="shared" si="406"/>
        <v>0.67853383354502395</v>
      </c>
      <c r="AI310" s="178">
        <f t="shared" si="407"/>
        <v>1.1212811248901475</v>
      </c>
      <c r="AJ310" s="178">
        <f t="shared" si="408"/>
        <v>1.815763796214924</v>
      </c>
      <c r="AL310" s="562">
        <f t="shared" si="409"/>
        <v>376</v>
      </c>
      <c r="AM310" s="471">
        <f t="shared" si="410"/>
        <v>134.91443884536673</v>
      </c>
      <c r="AO310">
        <f t="shared" si="411"/>
        <v>376</v>
      </c>
      <c r="AP310">
        <f t="shared" si="412"/>
        <v>134.91443884536673</v>
      </c>
      <c r="AR310" s="5">
        <f t="shared" si="382"/>
        <v>7.4121050982998051</v>
      </c>
      <c r="AS310" s="5">
        <f t="shared" si="415"/>
        <v>3.5677126701050148</v>
      </c>
      <c r="AT310" s="5">
        <f t="shared" si="416"/>
        <v>3.8443924281947903</v>
      </c>
      <c r="AU310" s="178">
        <f t="shared" si="417"/>
        <v>0.48133595284872305</v>
      </c>
      <c r="CD310" s="580">
        <f t="shared" si="413"/>
        <v>-50</v>
      </c>
    </row>
    <row r="311" spans="5:82" x14ac:dyDescent="0.2">
      <c r="E311" s="175">
        <v>95</v>
      </c>
      <c r="F311" s="222">
        <f t="shared" si="414"/>
        <v>0.38</v>
      </c>
      <c r="G311" s="222">
        <f t="shared" si="383"/>
        <v>0.19</v>
      </c>
      <c r="H311" s="222">
        <f t="shared" si="384"/>
        <v>4.5600000000000005</v>
      </c>
      <c r="I311" s="222">
        <f t="shared" si="385"/>
        <v>2.2800000000000002</v>
      </c>
      <c r="J311" s="558">
        <f t="shared" si="386"/>
        <v>26.4</v>
      </c>
      <c r="K311" s="453">
        <f t="shared" si="387"/>
        <v>24.5</v>
      </c>
      <c r="L311" s="453">
        <f t="shared" si="388"/>
        <v>50.9</v>
      </c>
      <c r="M311" s="453"/>
      <c r="N311" s="222">
        <f t="shared" si="389"/>
        <v>0.48133595284872299</v>
      </c>
      <c r="O311" s="177">
        <f t="shared" si="390"/>
        <v>5.8347544204322208</v>
      </c>
      <c r="P311" s="177">
        <f t="shared" si="391"/>
        <v>4.3760658153241652</v>
      </c>
      <c r="Q311" s="222">
        <f t="shared" si="392"/>
        <v>0.4862295350360184</v>
      </c>
      <c r="R311" s="222">
        <f t="shared" si="393"/>
        <v>0.4862295350360184</v>
      </c>
      <c r="S311" s="222">
        <f t="shared" si="394"/>
        <v>12</v>
      </c>
      <c r="T311" s="222">
        <f t="shared" si="395"/>
        <v>1.1332096474953619</v>
      </c>
      <c r="U311" s="222">
        <f t="shared" si="396"/>
        <v>3.6056670602125149</v>
      </c>
      <c r="V311" s="222">
        <f t="shared" si="397"/>
        <v>3.8852902199840984</v>
      </c>
      <c r="W311" s="202">
        <f t="shared" si="398"/>
        <v>350</v>
      </c>
      <c r="X311" s="453">
        <f t="shared" si="399"/>
        <v>133.49428685752073</v>
      </c>
      <c r="Z311" s="222">
        <f t="shared" si="400"/>
        <v>0.4322200392927309</v>
      </c>
      <c r="AA311" s="178">
        <f t="shared" si="401"/>
        <v>1.4818972775750774</v>
      </c>
      <c r="AB311" s="178">
        <f t="shared" si="402"/>
        <v>0.14945132989296789</v>
      </c>
      <c r="AC311" s="178"/>
      <c r="AD311" s="178">
        <f t="shared" si="403"/>
        <v>0.99428571428571422</v>
      </c>
      <c r="AE311" s="562">
        <f t="shared" si="404"/>
        <v>1317.8755449861278</v>
      </c>
      <c r="AF311" s="545">
        <f t="shared" si="405"/>
        <v>0.10091999999999998</v>
      </c>
      <c r="AH311" s="178">
        <f t="shared" si="406"/>
        <v>0.68213350778933279</v>
      </c>
      <c r="AI311" s="178">
        <f t="shared" si="407"/>
        <v>1.1332096474953619</v>
      </c>
      <c r="AJ311" s="178">
        <f t="shared" si="408"/>
        <v>1.8245997388854531</v>
      </c>
      <c r="AL311" s="562">
        <f t="shared" si="409"/>
        <v>380</v>
      </c>
      <c r="AM311" s="471">
        <f t="shared" si="410"/>
        <v>133.49428685752073</v>
      </c>
      <c r="AO311">
        <f t="shared" si="411"/>
        <v>380</v>
      </c>
      <c r="AP311">
        <f t="shared" si="412"/>
        <v>133.49428685752073</v>
      </c>
      <c r="AR311" s="5">
        <f t="shared" si="382"/>
        <v>7.4909572801966124</v>
      </c>
      <c r="AS311" s="5">
        <f t="shared" si="415"/>
        <v>3.6056670602125149</v>
      </c>
      <c r="AT311" s="5">
        <f t="shared" si="416"/>
        <v>3.8852902199840975</v>
      </c>
      <c r="AU311" s="178">
        <f t="shared" si="417"/>
        <v>0.48133595284872299</v>
      </c>
      <c r="CD311" s="580">
        <f t="shared" si="413"/>
        <v>-50</v>
      </c>
    </row>
    <row r="312" spans="5:82" x14ac:dyDescent="0.2">
      <c r="E312" s="175">
        <v>96</v>
      </c>
      <c r="F312" s="222">
        <f t="shared" si="414"/>
        <v>0.38400000000000001</v>
      </c>
      <c r="G312" s="222">
        <f t="shared" si="383"/>
        <v>0.192</v>
      </c>
      <c r="H312" s="222">
        <f t="shared" si="384"/>
        <v>4.6080000000000005</v>
      </c>
      <c r="I312" s="222">
        <f t="shared" si="385"/>
        <v>2.3040000000000003</v>
      </c>
      <c r="J312" s="558">
        <f t="shared" si="386"/>
        <v>26.4</v>
      </c>
      <c r="K312" s="453">
        <f t="shared" si="387"/>
        <v>24.5</v>
      </c>
      <c r="L312" s="453">
        <f t="shared" si="388"/>
        <v>50.9</v>
      </c>
      <c r="M312" s="453"/>
      <c r="N312" s="222">
        <f t="shared" si="389"/>
        <v>0.48133595284872299</v>
      </c>
      <c r="O312" s="177">
        <f t="shared" ref="O312:O316" si="418">N312*J312*Isw_max*0.5*Efficiency*Pout/(Pout+Pout2)</f>
        <v>5.8347544204322208</v>
      </c>
      <c r="P312" s="177">
        <f t="shared" si="391"/>
        <v>4.3760658153241652</v>
      </c>
      <c r="Q312" s="222">
        <f t="shared" si="392"/>
        <v>0.4862295350360184</v>
      </c>
      <c r="R312" s="222">
        <f t="shared" si="393"/>
        <v>0.4862295350360184</v>
      </c>
      <c r="S312" s="222">
        <f t="shared" si="394"/>
        <v>12</v>
      </c>
      <c r="T312" s="222">
        <f t="shared" si="395"/>
        <v>1.1451381701005763</v>
      </c>
      <c r="U312" s="222">
        <f t="shared" si="396"/>
        <v>3.6436214503200151</v>
      </c>
      <c r="V312" s="222">
        <f t="shared" si="397"/>
        <v>3.9261880117734043</v>
      </c>
      <c r="W312" s="202">
        <f t="shared" si="398"/>
        <v>350</v>
      </c>
      <c r="X312" s="453">
        <f t="shared" si="399"/>
        <v>132.10372136942158</v>
      </c>
      <c r="Z312" s="222">
        <f t="shared" si="400"/>
        <v>0.4322200392927309</v>
      </c>
      <c r="AA312" s="178">
        <f t="shared" si="401"/>
        <v>1.4818972775750774</v>
      </c>
      <c r="AB312" s="178">
        <f t="shared" ref="AB312:AB316" si="419">0.5*AA312*Z312*Nps*W312/1000*(Pout/(Pout+Pout2))</f>
        <v>0.14945132989296789</v>
      </c>
      <c r="AC312" s="178"/>
      <c r="AD312" s="178">
        <f t="shared" si="403"/>
        <v>0.99428571428571422</v>
      </c>
      <c r="AE312" s="562">
        <f t="shared" ref="AE312:AE316" si="420">MAX(10, F312/(0.5*AD312/1000000*Isw_min*Nps)/1000*Pout_total/Pout)</f>
        <v>1331.7479191438767</v>
      </c>
      <c r="AF312" s="545">
        <f t="shared" si="405"/>
        <v>0.10091999999999998</v>
      </c>
      <c r="AH312" s="178">
        <f t="shared" si="406"/>
        <v>0.68571428571428583</v>
      </c>
      <c r="AI312" s="178">
        <f t="shared" ref="AI312:AI316" si="421">MAX(IF(F312&gt;AB312,T312,AH312),Isw_min)</f>
        <v>1.1451381701005763</v>
      </c>
      <c r="AJ312" s="178">
        <f t="shared" ref="AJ312:AJ316" si="422">IF(F312&gt;AF312, (AI312-Isw_min)/1.08*0.8+1.2, AE312*0.2/350+1)</f>
        <v>1.8334356815559825</v>
      </c>
      <c r="AL312" s="562">
        <f t="shared" si="409"/>
        <v>384</v>
      </c>
      <c r="AM312" s="471">
        <f t="shared" si="410"/>
        <v>132.10372136942158</v>
      </c>
      <c r="AO312">
        <f t="shared" si="411"/>
        <v>384</v>
      </c>
      <c r="AP312">
        <f t="shared" si="412"/>
        <v>132.10372136942158</v>
      </c>
      <c r="AR312" s="5">
        <f t="shared" si="382"/>
        <v>7.5698094620934189</v>
      </c>
      <c r="AS312" s="5">
        <f t="shared" si="415"/>
        <v>3.6436214503200151</v>
      </c>
      <c r="AT312" s="5">
        <f t="shared" si="416"/>
        <v>3.9261880117734038</v>
      </c>
      <c r="AU312" s="178">
        <f t="shared" si="417"/>
        <v>0.48133595284872299</v>
      </c>
      <c r="CD312" s="580">
        <f t="shared" si="413"/>
        <v>-50</v>
      </c>
    </row>
    <row r="313" spans="5:82" x14ac:dyDescent="0.2">
      <c r="E313" s="175">
        <v>97</v>
      </c>
      <c r="F313" s="222">
        <f t="shared" ref="F313:F316" si="423">IF(PLOT_TYPE=1, E313/100*Iout_max, min_I*EXP(O313*rr/100))</f>
        <v>0.38800000000000001</v>
      </c>
      <c r="G313" s="222">
        <f t="shared" si="383"/>
        <v>0.19400000000000001</v>
      </c>
      <c r="H313" s="222">
        <f t="shared" si="384"/>
        <v>4.6560000000000006</v>
      </c>
      <c r="I313" s="222">
        <f t="shared" si="385"/>
        <v>2.3280000000000003</v>
      </c>
      <c r="J313" s="558">
        <f t="shared" si="386"/>
        <v>26.4</v>
      </c>
      <c r="K313" s="453">
        <f t="shared" si="387"/>
        <v>24.5</v>
      </c>
      <c r="L313" s="453">
        <f t="shared" si="388"/>
        <v>50.9</v>
      </c>
      <c r="M313" s="453"/>
      <c r="N313" s="222">
        <f t="shared" si="389"/>
        <v>0.48133595284872299</v>
      </c>
      <c r="O313" s="177">
        <f t="shared" si="418"/>
        <v>5.8347544204322208</v>
      </c>
      <c r="P313" s="177">
        <f t="shared" si="391"/>
        <v>4.3760658153241652</v>
      </c>
      <c r="Q313" s="222">
        <f t="shared" si="392"/>
        <v>0.4862295350360184</v>
      </c>
      <c r="R313" s="222">
        <f t="shared" si="393"/>
        <v>0.4862295350360184</v>
      </c>
      <c r="S313" s="222">
        <f t="shared" si="394"/>
        <v>12</v>
      </c>
      <c r="T313" s="222">
        <f t="shared" si="395"/>
        <v>1.1570666927057907</v>
      </c>
      <c r="U313" s="222">
        <f t="shared" si="396"/>
        <v>3.6815758404275156</v>
      </c>
      <c r="V313" s="222">
        <f t="shared" si="397"/>
        <v>3.9670858035627101</v>
      </c>
      <c r="W313" s="202">
        <f t="shared" si="398"/>
        <v>350</v>
      </c>
      <c r="X313" s="453">
        <f t="shared" si="399"/>
        <v>130.74182733468527</v>
      </c>
      <c r="Z313" s="222">
        <f t="shared" si="400"/>
        <v>0.4322200392927309</v>
      </c>
      <c r="AA313" s="178">
        <f t="shared" si="401"/>
        <v>1.4818972775750774</v>
      </c>
      <c r="AB313" s="178">
        <f t="shared" si="419"/>
        <v>0.14945132989296789</v>
      </c>
      <c r="AC313" s="178"/>
      <c r="AD313" s="178">
        <f t="shared" si="403"/>
        <v>0.99428571428571422</v>
      </c>
      <c r="AE313" s="562">
        <f t="shared" si="420"/>
        <v>1345.6202933016255</v>
      </c>
      <c r="AF313" s="545">
        <f t="shared" si="405"/>
        <v>0.10091999999999998</v>
      </c>
      <c r="AH313" s="178">
        <f t="shared" si="406"/>
        <v>0.68927646181798974</v>
      </c>
      <c r="AI313" s="178">
        <f t="shared" si="421"/>
        <v>1.1570666927057907</v>
      </c>
      <c r="AJ313" s="178">
        <f t="shared" si="422"/>
        <v>1.8422716242265116</v>
      </c>
      <c r="AL313" s="562">
        <f t="shared" si="409"/>
        <v>388</v>
      </c>
      <c r="AM313" s="471">
        <f t="shared" si="410"/>
        <v>130.74182733468527</v>
      </c>
      <c r="AO313">
        <f t="shared" si="411"/>
        <v>388</v>
      </c>
      <c r="AP313">
        <f t="shared" si="412"/>
        <v>130.74182733468527</v>
      </c>
      <c r="AR313" s="5">
        <f t="shared" si="382"/>
        <v>7.6486616439902253</v>
      </c>
      <c r="AS313" s="5">
        <f t="shared" si="415"/>
        <v>3.6815758404275156</v>
      </c>
      <c r="AT313" s="5">
        <f t="shared" si="416"/>
        <v>3.9670858035627097</v>
      </c>
      <c r="AU313" s="178">
        <f t="shared" si="417"/>
        <v>0.48133595284872305</v>
      </c>
      <c r="CD313" s="580">
        <f t="shared" si="413"/>
        <v>-50</v>
      </c>
    </row>
    <row r="314" spans="5:82" x14ac:dyDescent="0.2">
      <c r="E314" s="175">
        <v>98</v>
      </c>
      <c r="F314" s="222">
        <f t="shared" si="423"/>
        <v>0.39200000000000002</v>
      </c>
      <c r="G314" s="222">
        <f t="shared" si="383"/>
        <v>0.19600000000000001</v>
      </c>
      <c r="H314" s="222">
        <f t="shared" si="384"/>
        <v>4.7040000000000006</v>
      </c>
      <c r="I314" s="222">
        <f t="shared" si="385"/>
        <v>2.3520000000000003</v>
      </c>
      <c r="J314" s="558">
        <f t="shared" si="386"/>
        <v>26.4</v>
      </c>
      <c r="K314" s="453">
        <f t="shared" si="387"/>
        <v>24.5</v>
      </c>
      <c r="L314" s="453">
        <f t="shared" si="388"/>
        <v>50.9</v>
      </c>
      <c r="M314" s="453"/>
      <c r="N314" s="222">
        <f t="shared" si="389"/>
        <v>0.48133595284872299</v>
      </c>
      <c r="O314" s="177">
        <f t="shared" si="418"/>
        <v>5.8347544204322208</v>
      </c>
      <c r="P314" s="177">
        <f t="shared" si="391"/>
        <v>4.3760658153241652</v>
      </c>
      <c r="Q314" s="222">
        <f t="shared" si="392"/>
        <v>0.4862295350360184</v>
      </c>
      <c r="R314" s="222">
        <f t="shared" si="393"/>
        <v>0.4862295350360184</v>
      </c>
      <c r="S314" s="222">
        <f t="shared" si="394"/>
        <v>12</v>
      </c>
      <c r="T314" s="222">
        <f t="shared" si="395"/>
        <v>1.168995215311005</v>
      </c>
      <c r="U314" s="222">
        <f t="shared" si="396"/>
        <v>3.7195302305350157</v>
      </c>
      <c r="V314" s="222">
        <f t="shared" si="397"/>
        <v>4.0079835953520169</v>
      </c>
      <c r="W314" s="202">
        <f t="shared" si="398"/>
        <v>350</v>
      </c>
      <c r="X314" s="453">
        <f t="shared" si="399"/>
        <v>129.40772705575989</v>
      </c>
      <c r="Z314" s="222">
        <f t="shared" si="400"/>
        <v>0.4322200392927309</v>
      </c>
      <c r="AA314" s="178">
        <f t="shared" si="401"/>
        <v>1.4818972775750774</v>
      </c>
      <c r="AB314" s="178">
        <f t="shared" si="419"/>
        <v>0.14945132989296789</v>
      </c>
      <c r="AC314" s="178"/>
      <c r="AD314" s="178">
        <f t="shared" si="403"/>
        <v>0.99428571428571422</v>
      </c>
      <c r="AE314" s="562">
        <f t="shared" si="420"/>
        <v>1359.4926674593742</v>
      </c>
      <c r="AF314" s="545">
        <f t="shared" si="405"/>
        <v>0.10091999999999998</v>
      </c>
      <c r="AH314" s="178">
        <f t="shared" si="406"/>
        <v>0.69282032302755103</v>
      </c>
      <c r="AI314" s="178">
        <f t="shared" si="421"/>
        <v>1.168995215311005</v>
      </c>
      <c r="AJ314" s="178">
        <f t="shared" si="422"/>
        <v>1.8511075668970407</v>
      </c>
      <c r="AL314" s="562">
        <f t="shared" si="409"/>
        <v>392</v>
      </c>
      <c r="AM314" s="471">
        <f t="shared" si="410"/>
        <v>129.40772705575989</v>
      </c>
      <c r="AO314">
        <f t="shared" si="411"/>
        <v>392</v>
      </c>
      <c r="AP314">
        <f t="shared" si="412"/>
        <v>129.40772705575989</v>
      </c>
      <c r="AR314" s="5">
        <f t="shared" si="382"/>
        <v>7.7275138258870326</v>
      </c>
      <c r="AS314" s="5">
        <f t="shared" si="415"/>
        <v>3.7195302305350157</v>
      </c>
      <c r="AT314" s="5">
        <f t="shared" si="416"/>
        <v>4.0079835953520169</v>
      </c>
      <c r="AU314" s="178">
        <f t="shared" si="417"/>
        <v>0.48133595284872299</v>
      </c>
      <c r="CD314" s="580">
        <f t="shared" si="413"/>
        <v>-50</v>
      </c>
    </row>
    <row r="315" spans="5:82" x14ac:dyDescent="0.2">
      <c r="E315" s="175">
        <v>99</v>
      </c>
      <c r="F315" s="222">
        <f t="shared" si="423"/>
        <v>0.39600000000000002</v>
      </c>
      <c r="G315" s="222">
        <f t="shared" si="383"/>
        <v>0.19800000000000001</v>
      </c>
      <c r="H315" s="222">
        <f t="shared" si="384"/>
        <v>4.7520000000000007</v>
      </c>
      <c r="I315" s="222">
        <f t="shared" si="385"/>
        <v>2.3760000000000003</v>
      </c>
      <c r="J315" s="558">
        <f t="shared" si="386"/>
        <v>26.4</v>
      </c>
      <c r="K315" s="453">
        <f t="shared" si="387"/>
        <v>24.5</v>
      </c>
      <c r="L315" s="453">
        <f t="shared" si="388"/>
        <v>50.9</v>
      </c>
      <c r="M315" s="453"/>
      <c r="N315" s="222">
        <f t="shared" si="389"/>
        <v>0.48133595284872299</v>
      </c>
      <c r="O315" s="177">
        <f t="shared" si="418"/>
        <v>5.8347544204322208</v>
      </c>
      <c r="P315" s="177">
        <f t="shared" si="391"/>
        <v>4.3760658153241652</v>
      </c>
      <c r="Q315" s="222">
        <f t="shared" si="392"/>
        <v>0.4862295350360184</v>
      </c>
      <c r="R315" s="222">
        <f t="shared" si="393"/>
        <v>0.4862295350360184</v>
      </c>
      <c r="S315" s="222">
        <f t="shared" si="394"/>
        <v>12</v>
      </c>
      <c r="T315" s="222">
        <f t="shared" si="395"/>
        <v>1.1809237379162194</v>
      </c>
      <c r="U315" s="222">
        <f t="shared" si="396"/>
        <v>3.7574846206425163</v>
      </c>
      <c r="V315" s="222">
        <f t="shared" si="397"/>
        <v>4.0488813871413232</v>
      </c>
      <c r="W315" s="202">
        <f t="shared" si="398"/>
        <v>350</v>
      </c>
      <c r="X315" s="453">
        <f t="shared" si="399"/>
        <v>128.1005782976209</v>
      </c>
      <c r="Z315" s="222">
        <f t="shared" si="400"/>
        <v>0.4322200392927309</v>
      </c>
      <c r="AA315" s="178">
        <f t="shared" si="401"/>
        <v>1.4818972775750774</v>
      </c>
      <c r="AB315" s="178">
        <f t="shared" si="419"/>
        <v>0.14945132989296789</v>
      </c>
      <c r="AC315" s="178"/>
      <c r="AD315" s="178">
        <f t="shared" si="403"/>
        <v>0.99428571428571422</v>
      </c>
      <c r="AE315" s="562">
        <f t="shared" si="420"/>
        <v>1373.3650416171229</v>
      </c>
      <c r="AF315" s="545">
        <f t="shared" si="405"/>
        <v>0.10091999999999998</v>
      </c>
      <c r="AH315" s="178">
        <f t="shared" si="406"/>
        <v>0.69634614896879665</v>
      </c>
      <c r="AI315" s="178">
        <f t="shared" si="421"/>
        <v>1.1809237379162194</v>
      </c>
      <c r="AJ315" s="178">
        <f t="shared" si="422"/>
        <v>1.8599435095675698</v>
      </c>
      <c r="AL315" s="562">
        <f t="shared" si="409"/>
        <v>396</v>
      </c>
      <c r="AM315" s="471">
        <f t="shared" si="410"/>
        <v>128.1005782976209</v>
      </c>
      <c r="AO315">
        <f t="shared" si="411"/>
        <v>396</v>
      </c>
      <c r="AP315">
        <f t="shared" si="412"/>
        <v>128.1005782976209</v>
      </c>
      <c r="AR315" s="5">
        <f t="shared" si="382"/>
        <v>7.806366007783839</v>
      </c>
      <c r="AS315" s="5">
        <f t="shared" si="415"/>
        <v>3.7574846206425163</v>
      </c>
      <c r="AT315" s="5">
        <f t="shared" si="416"/>
        <v>4.0488813871413232</v>
      </c>
      <c r="AU315" s="178">
        <f t="shared" si="417"/>
        <v>0.48133595284872305</v>
      </c>
      <c r="CD315" s="580">
        <f t="shared" si="413"/>
        <v>-50</v>
      </c>
    </row>
    <row r="316" spans="5:82" x14ac:dyDescent="0.2">
      <c r="E316" s="175">
        <v>100</v>
      </c>
      <c r="F316" s="222">
        <f t="shared" si="423"/>
        <v>0.4</v>
      </c>
      <c r="G316" s="222">
        <f t="shared" si="383"/>
        <v>0.2</v>
      </c>
      <c r="H316" s="222">
        <f t="shared" si="384"/>
        <v>4.8000000000000007</v>
      </c>
      <c r="I316" s="222">
        <f t="shared" si="385"/>
        <v>2.4000000000000004</v>
      </c>
      <c r="J316" s="558">
        <f t="shared" si="386"/>
        <v>26.4</v>
      </c>
      <c r="K316" s="453">
        <f t="shared" si="387"/>
        <v>24.5</v>
      </c>
      <c r="L316" s="453">
        <f t="shared" si="388"/>
        <v>50.9</v>
      </c>
      <c r="M316" s="453"/>
      <c r="N316" s="222">
        <f t="shared" si="389"/>
        <v>0.48133595284872299</v>
      </c>
      <c r="O316" s="177">
        <f t="shared" si="418"/>
        <v>5.8347544204322208</v>
      </c>
      <c r="P316" s="177">
        <f t="shared" si="391"/>
        <v>4.3760658153241652</v>
      </c>
      <c r="Q316" s="222">
        <f t="shared" si="392"/>
        <v>0.4862295350360184</v>
      </c>
      <c r="R316" s="222">
        <f t="shared" si="393"/>
        <v>0.4862295350360184</v>
      </c>
      <c r="S316" s="222">
        <f t="shared" si="394"/>
        <v>12</v>
      </c>
      <c r="T316" s="222">
        <f t="shared" si="395"/>
        <v>1.1928522605214336</v>
      </c>
      <c r="U316" s="222">
        <f t="shared" si="396"/>
        <v>3.795439010750016</v>
      </c>
      <c r="V316" s="222">
        <f t="shared" si="397"/>
        <v>4.0897791789306286</v>
      </c>
      <c r="W316" s="202">
        <f t="shared" si="398"/>
        <v>350</v>
      </c>
      <c r="X316" s="453">
        <f t="shared" si="399"/>
        <v>126.8195725146447</v>
      </c>
      <c r="Z316" s="222">
        <f t="shared" si="400"/>
        <v>0.4322200392927309</v>
      </c>
      <c r="AA316" s="178">
        <f t="shared" si="401"/>
        <v>1.4818972775750774</v>
      </c>
      <c r="AB316" s="178">
        <f t="shared" si="419"/>
        <v>0.14945132989296789</v>
      </c>
      <c r="AC316" s="178"/>
      <c r="AD316" s="178">
        <f t="shared" si="403"/>
        <v>0.99428571428571422</v>
      </c>
      <c r="AE316" s="562">
        <f t="shared" si="420"/>
        <v>1387.2374157748716</v>
      </c>
      <c r="AF316" s="545">
        <f t="shared" si="405"/>
        <v>0.10091999999999998</v>
      </c>
      <c r="AH316" s="178">
        <f t="shared" si="406"/>
        <v>0.6998542122237652</v>
      </c>
      <c r="AI316" s="178">
        <f t="shared" si="421"/>
        <v>1.1928522605214336</v>
      </c>
      <c r="AJ316" s="178">
        <f t="shared" si="422"/>
        <v>1.8687794522380989</v>
      </c>
      <c r="AL316" s="562">
        <f t="shared" si="409"/>
        <v>400</v>
      </c>
      <c r="AM316" s="471">
        <f t="shared" si="410"/>
        <v>126.8195725146447</v>
      </c>
      <c r="AO316">
        <f t="shared" si="411"/>
        <v>400</v>
      </c>
      <c r="AP316">
        <f t="shared" si="412"/>
        <v>126.8195725146447</v>
      </c>
      <c r="AR316" s="5">
        <f t="shared" si="382"/>
        <v>7.8852181896806455</v>
      </c>
      <c r="AS316" s="5">
        <f t="shared" si="415"/>
        <v>3.795439010750016</v>
      </c>
      <c r="AT316" s="5">
        <f t="shared" si="416"/>
        <v>4.0897791789306295</v>
      </c>
      <c r="AU316" s="178">
        <f t="shared" si="417"/>
        <v>0.48133595284872299</v>
      </c>
      <c r="CD316" s="580">
        <f t="shared" si="413"/>
        <v>-50</v>
      </c>
    </row>
    <row r="317" spans="5:82" x14ac:dyDescent="0.2">
      <c r="E317" s="175"/>
      <c r="F317" s="222"/>
      <c r="G317" s="222"/>
    </row>
  </sheetData>
  <mergeCells count="1">
    <mergeCell ref="N3:Z3"/>
  </mergeCells>
  <phoneticPr fontId="82"/>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0000"/>
  </sheetPr>
  <dimension ref="C3:S106"/>
  <sheetViews>
    <sheetView workbookViewId="0">
      <selection activeCell="V6" sqref="V6"/>
    </sheetView>
  </sheetViews>
  <sheetFormatPr defaultRowHeight="12.75" x14ac:dyDescent="0.2"/>
  <cols>
    <col min="3" max="3" width="7.7109375" customWidth="1"/>
    <col min="5" max="5" width="10.28515625" customWidth="1"/>
    <col min="7" max="7" width="10.7109375" customWidth="1"/>
    <col min="8" max="8" width="9.7109375" customWidth="1"/>
    <col min="9" max="9" width="9.5703125" customWidth="1"/>
    <col min="10" max="10" width="8.7109375" customWidth="1"/>
    <col min="11" max="11" width="9.85546875" customWidth="1"/>
    <col min="12" max="12" width="10.7109375" customWidth="1"/>
    <col min="13" max="13" width="15" customWidth="1"/>
    <col min="14" max="14" width="11.42578125" customWidth="1"/>
    <col min="15" max="16" width="11" customWidth="1"/>
    <col min="17" max="17" width="11.140625" customWidth="1"/>
    <col min="18" max="18" width="11.28515625" customWidth="1"/>
    <col min="19" max="19" width="5.140625" customWidth="1"/>
  </cols>
  <sheetData>
    <row r="3" spans="3:19" ht="13.5" thickBot="1" x14ac:dyDescent="0.25"/>
    <row r="4" spans="3:19" x14ac:dyDescent="0.2">
      <c r="C4" s="225" t="s">
        <v>432</v>
      </c>
      <c r="D4" s="226"/>
      <c r="E4" s="227"/>
      <c r="F4" s="689" t="s">
        <v>190</v>
      </c>
      <c r="G4" s="690"/>
      <c r="H4" s="689"/>
      <c r="I4" s="689"/>
      <c r="J4" s="689"/>
      <c r="K4" s="690"/>
      <c r="L4" s="690"/>
      <c r="M4" s="690"/>
      <c r="N4" s="689"/>
      <c r="O4" s="692"/>
      <c r="P4" s="550"/>
      <c r="Q4" s="550"/>
      <c r="R4" s="550"/>
      <c r="S4" s="550"/>
    </row>
    <row r="5" spans="3:19" ht="45" customHeight="1" thickBot="1" x14ac:dyDescent="0.25">
      <c r="C5" s="246" t="s">
        <v>25</v>
      </c>
      <c r="D5" s="247" t="s">
        <v>423</v>
      </c>
      <c r="E5" s="248" t="s">
        <v>429</v>
      </c>
      <c r="F5" s="249" t="s">
        <v>48</v>
      </c>
      <c r="G5" s="544" t="s">
        <v>413</v>
      </c>
      <c r="H5" s="544" t="s">
        <v>414</v>
      </c>
      <c r="I5" s="544" t="s">
        <v>424</v>
      </c>
      <c r="J5" s="544" t="s">
        <v>425</v>
      </c>
      <c r="K5" s="544" t="s">
        <v>426</v>
      </c>
      <c r="L5" s="544" t="s">
        <v>427</v>
      </c>
      <c r="M5" s="251" t="s">
        <v>430</v>
      </c>
      <c r="N5" s="250" t="s">
        <v>431</v>
      </c>
      <c r="O5" s="250" t="s">
        <v>428</v>
      </c>
      <c r="P5" s="250" t="s">
        <v>433</v>
      </c>
      <c r="Q5" s="250" t="s">
        <v>434</v>
      </c>
      <c r="R5" s="250" t="s">
        <v>435</v>
      </c>
      <c r="S5" s="250"/>
    </row>
    <row r="6" spans="3:19" x14ac:dyDescent="0.2">
      <c r="C6" s="175">
        <v>0.1</v>
      </c>
      <c r="D6" s="546">
        <f>VIN_min</f>
        <v>21.6</v>
      </c>
      <c r="E6" s="453">
        <f t="shared" ref="E6:E37" si="0">(Vout+Vfwd1)*Nps</f>
        <v>24.5</v>
      </c>
      <c r="F6" s="222">
        <f t="shared" ref="F6:F37" si="1">(Vout+Vfwd1)*Nps/((Vout+Vfwd1)*Nps+D6)</f>
        <v>0.53145336225596529</v>
      </c>
      <c r="G6" s="177">
        <f t="shared" ref="G6:G37" si="2">F6*D6*Isw_max*0.5*Efficiency</f>
        <v>7.9064316702819957</v>
      </c>
      <c r="H6" s="222">
        <f t="shared" ref="H6:H37" si="3">G6/Vout</f>
        <v>0.65886930585683301</v>
      </c>
      <c r="I6" s="453">
        <f t="shared" ref="I6:I37" si="4">(Vout+Vfwd1)*Nps+D6</f>
        <v>46.1</v>
      </c>
      <c r="J6" s="177">
        <f t="shared" ref="J6:J37" si="5">MIN(2*Vout*Iout/(Efficiency*D6*F6), 1.35)</f>
        <v>0.8802959780403391</v>
      </c>
      <c r="K6" s="177">
        <f t="shared" ref="K6:K37" si="6">L*J6/D6*1000000</f>
        <v>3.4233732479346517</v>
      </c>
      <c r="L6" s="177">
        <f t="shared" ref="L6:L37" si="7">L*J6/((Vout+Vfwd1)*Nps)*1000000</f>
        <v>3.0181576389954485</v>
      </c>
      <c r="M6" s="453">
        <f>MIN(1/(K6+L6)*1000, 350)</f>
        <v>155.2425995548675</v>
      </c>
      <c r="N6" s="202">
        <f t="shared" ref="N6:N37" si="8">IF(1/((350000*L)*(1/D6+1/E6))&gt;Isw_min, 350, 0.001/((Isw_min*L)*(1/D6+1/E6)))</f>
        <v>350</v>
      </c>
      <c r="O6" s="222">
        <f t="shared" ref="O6:O37" si="9">1/((N6*1000*L)*(1/D6+1/E6))</f>
        <v>0.39045553145336231</v>
      </c>
      <c r="P6" s="178">
        <f t="shared" ref="P6:P37" si="10">L*O6/E6*1000000</f>
        <v>1.3387046792686708</v>
      </c>
      <c r="Q6" s="178">
        <f t="shared" ref="Q6:Q37" si="11">0.5*P6*O6*Nps*N6/1000</f>
        <v>0.18294662645103313</v>
      </c>
      <c r="R6" s="178">
        <f t="shared" ref="R6:R37" si="12">L*Isw_min/E6*1000000</f>
        <v>0.99428571428571422</v>
      </c>
    </row>
    <row r="7" spans="3:19" x14ac:dyDescent="0.2">
      <c r="C7" s="175">
        <v>1</v>
      </c>
      <c r="D7" s="5">
        <f t="shared" ref="D7:D38" si="13">C7/100*(VIN_max-VIN_min)+VIN_min</f>
        <v>21.648</v>
      </c>
      <c r="E7" s="453">
        <f t="shared" si="0"/>
        <v>24.5</v>
      </c>
      <c r="F7" s="222">
        <f t="shared" si="1"/>
        <v>0.53090058074022717</v>
      </c>
      <c r="G7" s="177">
        <f t="shared" si="2"/>
        <v>7.91575951287163</v>
      </c>
      <c r="H7" s="222">
        <f t="shared" si="3"/>
        <v>0.6596466260726358</v>
      </c>
      <c r="I7" s="453">
        <f t="shared" si="4"/>
        <v>46.147999999999996</v>
      </c>
      <c r="J7" s="177">
        <f t="shared" si="5"/>
        <v>0.87925864709286683</v>
      </c>
      <c r="K7" s="177">
        <f t="shared" si="6"/>
        <v>3.4117574998060238</v>
      </c>
      <c r="L7" s="177">
        <f t="shared" si="7"/>
        <v>3.0146010757469717</v>
      </c>
      <c r="M7" s="453">
        <f t="shared" ref="M7:M70" si="14">MIN(1/(K7+L7)*1000, 350)</f>
        <v>155.60911957265765</v>
      </c>
      <c r="N7" s="202">
        <f t="shared" si="8"/>
        <v>350</v>
      </c>
      <c r="O7" s="222">
        <f t="shared" si="9"/>
        <v>0.39091618271647743</v>
      </c>
      <c r="P7" s="178">
        <f t="shared" si="10"/>
        <v>1.3402840550279225</v>
      </c>
      <c r="Q7" s="178">
        <f t="shared" si="11"/>
        <v>0.18337855429154684</v>
      </c>
      <c r="R7" s="178">
        <f t="shared" si="12"/>
        <v>0.99428571428571422</v>
      </c>
    </row>
    <row r="8" spans="3:19" x14ac:dyDescent="0.2">
      <c r="C8" s="175">
        <v>2</v>
      </c>
      <c r="D8" s="5">
        <f t="shared" si="13"/>
        <v>21.696000000000002</v>
      </c>
      <c r="E8" s="453">
        <f t="shared" si="0"/>
        <v>24.5</v>
      </c>
      <c r="F8" s="222">
        <f t="shared" si="1"/>
        <v>0.5303489479608624</v>
      </c>
      <c r="G8" s="177">
        <f t="shared" si="2"/>
        <v>7.925067971252922</v>
      </c>
      <c r="H8" s="222">
        <f t="shared" si="3"/>
        <v>0.6604223309377435</v>
      </c>
      <c r="I8" s="453">
        <f t="shared" si="4"/>
        <v>46.195999999999998</v>
      </c>
      <c r="J8" s="177">
        <f t="shared" si="5"/>
        <v>0.87822590610533935</v>
      </c>
      <c r="K8" s="177">
        <f t="shared" si="6"/>
        <v>3.4002109196556276</v>
      </c>
      <c r="L8" s="177">
        <f t="shared" si="7"/>
        <v>3.0110602495040206</v>
      </c>
      <c r="M8" s="453">
        <f t="shared" si="14"/>
        <v>155.97530873601687</v>
      </c>
      <c r="N8" s="202">
        <f t="shared" si="8"/>
        <v>350</v>
      </c>
      <c r="O8" s="222">
        <f t="shared" si="9"/>
        <v>0.39137587669928137</v>
      </c>
      <c r="P8" s="178">
        <f t="shared" si="10"/>
        <v>1.3418601486832502</v>
      </c>
      <c r="Q8" s="178">
        <f t="shared" si="11"/>
        <v>0.18381009223455727</v>
      </c>
      <c r="R8" s="178">
        <f t="shared" si="12"/>
        <v>0.99428571428571422</v>
      </c>
    </row>
    <row r="9" spans="3:19" x14ac:dyDescent="0.2">
      <c r="C9" s="175">
        <v>3</v>
      </c>
      <c r="D9" s="5">
        <f t="shared" si="13"/>
        <v>21.744</v>
      </c>
      <c r="E9" s="453">
        <f t="shared" si="0"/>
        <v>24.5</v>
      </c>
      <c r="F9" s="222">
        <f t="shared" si="1"/>
        <v>0.52979846034080103</v>
      </c>
      <c r="G9" s="177">
        <f t="shared" si="2"/>
        <v>7.9343571057866971</v>
      </c>
      <c r="H9" s="222">
        <f t="shared" si="3"/>
        <v>0.66119642548222479</v>
      </c>
      <c r="I9" s="453">
        <f t="shared" si="4"/>
        <v>46.244</v>
      </c>
      <c r="J9" s="177">
        <f t="shared" si="5"/>
        <v>0.87719772468067059</v>
      </c>
      <c r="K9" s="177">
        <f t="shared" si="6"/>
        <v>3.3887329319893449</v>
      </c>
      <c r="L9" s="177">
        <f t="shared" si="7"/>
        <v>3.0075350560480127</v>
      </c>
      <c r="M9" s="453">
        <f t="shared" si="14"/>
        <v>156.3411667350795</v>
      </c>
      <c r="N9" s="202">
        <f t="shared" si="8"/>
        <v>350</v>
      </c>
      <c r="O9" s="222">
        <f t="shared" si="9"/>
        <v>0.39183461638266592</v>
      </c>
      <c r="P9" s="178">
        <f t="shared" si="10"/>
        <v>1.3434329704548544</v>
      </c>
      <c r="Q9" s="178">
        <f t="shared" si="11"/>
        <v>0.18424123991490116</v>
      </c>
      <c r="R9" s="178">
        <f t="shared" si="12"/>
        <v>0.99428571428571422</v>
      </c>
    </row>
    <row r="10" spans="3:19" x14ac:dyDescent="0.2">
      <c r="C10" s="175">
        <v>4</v>
      </c>
      <c r="D10" s="5">
        <f t="shared" si="13"/>
        <v>21.792000000000002</v>
      </c>
      <c r="E10" s="453">
        <f t="shared" si="0"/>
        <v>24.5</v>
      </c>
      <c r="F10" s="222">
        <f t="shared" si="1"/>
        <v>0.52924911431780863</v>
      </c>
      <c r="G10" s="177">
        <f t="shared" si="2"/>
        <v>7.9436269765834258</v>
      </c>
      <c r="H10" s="222">
        <f t="shared" si="3"/>
        <v>0.66196891471528552</v>
      </c>
      <c r="I10" s="453">
        <f t="shared" si="4"/>
        <v>46.292000000000002</v>
      </c>
      <c r="J10" s="177">
        <f t="shared" si="5"/>
        <v>0.8761740726895908</v>
      </c>
      <c r="K10" s="177">
        <f t="shared" si="6"/>
        <v>3.3773229674158229</v>
      </c>
      <c r="L10" s="177">
        <f t="shared" si="7"/>
        <v>3.0040253920785966</v>
      </c>
      <c r="M10" s="453">
        <f t="shared" si="14"/>
        <v>156.70669326681735</v>
      </c>
      <c r="N10" s="202">
        <f t="shared" si="8"/>
        <v>350</v>
      </c>
      <c r="O10" s="222">
        <f t="shared" si="9"/>
        <v>0.39229240473515947</v>
      </c>
      <c r="P10" s="178">
        <f t="shared" si="10"/>
        <v>1.3450025305205469</v>
      </c>
      <c r="Q10" s="178">
        <f t="shared" si="11"/>
        <v>0.18467199697547304</v>
      </c>
      <c r="R10" s="178">
        <f t="shared" si="12"/>
        <v>0.99428571428571422</v>
      </c>
    </row>
    <row r="11" spans="3:19" x14ac:dyDescent="0.2">
      <c r="C11" s="175">
        <v>5</v>
      </c>
      <c r="D11" s="5">
        <f t="shared" si="13"/>
        <v>21.84</v>
      </c>
      <c r="E11" s="453">
        <f t="shared" si="0"/>
        <v>24.5</v>
      </c>
      <c r="F11" s="222">
        <f t="shared" si="1"/>
        <v>0.5287009063444108</v>
      </c>
      <c r="G11" s="177">
        <f t="shared" si="2"/>
        <v>7.9528776435045305</v>
      </c>
      <c r="H11" s="222">
        <f t="shared" si="3"/>
        <v>0.66273980362537754</v>
      </c>
      <c r="I11" s="453">
        <f t="shared" si="4"/>
        <v>46.34</v>
      </c>
      <c r="J11" s="177">
        <f t="shared" si="5"/>
        <v>0.87515492026770259</v>
      </c>
      <c r="K11" s="177">
        <f t="shared" si="6"/>
        <v>3.3659804625680869</v>
      </c>
      <c r="L11" s="177">
        <f t="shared" si="7"/>
        <v>3.0005311552035518</v>
      </c>
      <c r="M11" s="453">
        <f t="shared" si="14"/>
        <v>157.07188803497587</v>
      </c>
      <c r="N11" s="202">
        <f t="shared" si="8"/>
        <v>350</v>
      </c>
      <c r="O11" s="222">
        <f t="shared" si="9"/>
        <v>0.39274924471299094</v>
      </c>
      <c r="P11" s="178">
        <f t="shared" si="10"/>
        <v>1.3465688390159689</v>
      </c>
      <c r="Q11" s="178">
        <f t="shared" si="11"/>
        <v>0.18510236306714981</v>
      </c>
      <c r="R11" s="178">
        <f t="shared" si="12"/>
        <v>0.99428571428571422</v>
      </c>
    </row>
    <row r="12" spans="3:19" x14ac:dyDescent="0.2">
      <c r="C12" s="175">
        <v>6</v>
      </c>
      <c r="D12" s="5">
        <f t="shared" si="13"/>
        <v>21.888000000000002</v>
      </c>
      <c r="E12" s="453">
        <f t="shared" si="0"/>
        <v>24.5</v>
      </c>
      <c r="F12" s="222">
        <f t="shared" si="1"/>
        <v>0.5281538328878157</v>
      </c>
      <c r="G12" s="177">
        <f t="shared" si="2"/>
        <v>7.9621091661636605</v>
      </c>
      <c r="H12" s="222">
        <f t="shared" si="3"/>
        <v>0.66350909718030504</v>
      </c>
      <c r="I12" s="453">
        <f t="shared" si="4"/>
        <v>46.388000000000005</v>
      </c>
      <c r="J12" s="177">
        <f t="shared" si="5"/>
        <v>0.87414023781257677</v>
      </c>
      <c r="K12" s="177">
        <f t="shared" si="6"/>
        <v>3.3547048600263358</v>
      </c>
      <c r="L12" s="177">
        <f t="shared" si="7"/>
        <v>2.9970522439288345</v>
      </c>
      <c r="M12" s="453">
        <f t="shared" si="14"/>
        <v>157.4367507500107</v>
      </c>
      <c r="N12" s="202">
        <f t="shared" si="8"/>
        <v>350</v>
      </c>
      <c r="O12" s="222">
        <f t="shared" si="9"/>
        <v>0.3932051392601536</v>
      </c>
      <c r="P12" s="178">
        <f t="shared" si="10"/>
        <v>1.3481319060348123</v>
      </c>
      <c r="Q12" s="178">
        <f t="shared" si="11"/>
        <v>0.18553233784871612</v>
      </c>
      <c r="R12" s="178">
        <f t="shared" si="12"/>
        <v>0.99428571428571422</v>
      </c>
    </row>
    <row r="13" spans="3:19" x14ac:dyDescent="0.2">
      <c r="C13" s="175">
        <v>7</v>
      </c>
      <c r="D13" s="5">
        <f t="shared" si="13"/>
        <v>21.936</v>
      </c>
      <c r="E13" s="453">
        <f t="shared" si="0"/>
        <v>24.5</v>
      </c>
      <c r="F13" s="222">
        <f t="shared" si="1"/>
        <v>0.52760789042983891</v>
      </c>
      <c r="G13" s="177">
        <f t="shared" si="2"/>
        <v>7.9713216039279873</v>
      </c>
      <c r="H13" s="222">
        <f t="shared" si="3"/>
        <v>0.66427680032733227</v>
      </c>
      <c r="I13" s="453">
        <f t="shared" si="4"/>
        <v>46.436</v>
      </c>
      <c r="J13" s="177">
        <f t="shared" si="5"/>
        <v>0.87312999598088714</v>
      </c>
      <c r="K13" s="177">
        <f t="shared" si="6"/>
        <v>3.3434956082419087</v>
      </c>
      <c r="L13" s="177">
        <f t="shared" si="7"/>
        <v>2.9935885576487555</v>
      </c>
      <c r="M13" s="453">
        <f t="shared" si="14"/>
        <v>157.80128112902412</v>
      </c>
      <c r="N13" s="202">
        <f t="shared" si="8"/>
        <v>350</v>
      </c>
      <c r="O13" s="222">
        <f t="shared" si="9"/>
        <v>0.39366009130846757</v>
      </c>
      <c r="P13" s="178">
        <f t="shared" si="10"/>
        <v>1.3496917416290317</v>
      </c>
      <c r="Q13" s="178">
        <f t="shared" si="11"/>
        <v>0.18596192098678924</v>
      </c>
      <c r="R13" s="178">
        <f t="shared" si="12"/>
        <v>0.99428571428571422</v>
      </c>
    </row>
    <row r="14" spans="3:19" s="77" customFormat="1" x14ac:dyDescent="0.2">
      <c r="C14" s="194">
        <v>8</v>
      </c>
      <c r="D14" s="551">
        <f t="shared" si="13"/>
        <v>21.984000000000002</v>
      </c>
      <c r="E14" s="552">
        <f t="shared" si="0"/>
        <v>24.5</v>
      </c>
      <c r="F14" s="334">
        <f t="shared" si="1"/>
        <v>0.52706307546682729</v>
      </c>
      <c r="G14" s="553">
        <f t="shared" si="2"/>
        <v>7.9805150159194564</v>
      </c>
      <c r="H14" s="334">
        <f t="shared" si="3"/>
        <v>0.66504291799328807</v>
      </c>
      <c r="I14" s="552">
        <f t="shared" si="4"/>
        <v>46.484000000000002</v>
      </c>
      <c r="J14" s="177">
        <f t="shared" si="5"/>
        <v>0.87212416568558015</v>
      </c>
      <c r="K14" s="553">
        <f t="shared" si="6"/>
        <v>3.3323521614623695</v>
      </c>
      <c r="L14" s="553">
        <f t="shared" si="7"/>
        <v>2.9901399966362749</v>
      </c>
      <c r="M14" s="552">
        <f t="shared" si="14"/>
        <v>158.16547889570322</v>
      </c>
      <c r="N14" s="554">
        <f t="shared" si="8"/>
        <v>350</v>
      </c>
      <c r="O14" s="334">
        <f t="shared" si="9"/>
        <v>0.39411410377764394</v>
      </c>
      <c r="P14" s="178">
        <f t="shared" si="10"/>
        <v>1.3512483558090649</v>
      </c>
      <c r="Q14" s="555">
        <f t="shared" si="11"/>
        <v>0.18639111215574658</v>
      </c>
      <c r="R14" s="178">
        <f t="shared" si="12"/>
        <v>0.99428571428571422</v>
      </c>
    </row>
    <row r="15" spans="3:19" x14ac:dyDescent="0.2">
      <c r="C15" s="175">
        <v>9</v>
      </c>
      <c r="D15" s="5">
        <f t="shared" si="13"/>
        <v>22.032</v>
      </c>
      <c r="E15" s="453">
        <f t="shared" si="0"/>
        <v>24.5</v>
      </c>
      <c r="F15" s="222">
        <f t="shared" si="1"/>
        <v>0.5265193845095848</v>
      </c>
      <c r="G15" s="177">
        <f t="shared" si="2"/>
        <v>7.9896894610160754</v>
      </c>
      <c r="H15" s="222">
        <f t="shared" si="3"/>
        <v>0.66580745508467298</v>
      </c>
      <c r="I15" s="453">
        <f t="shared" si="4"/>
        <v>46.531999999999996</v>
      </c>
      <c r="J15" s="177">
        <f t="shared" si="5"/>
        <v>0.87112271809308528</v>
      </c>
      <c r="K15" s="177">
        <f t="shared" si="6"/>
        <v>3.321273979657732</v>
      </c>
      <c r="L15" s="177">
        <f t="shared" si="7"/>
        <v>2.9867064620334349</v>
      </c>
      <c r="M15" s="453">
        <f t="shared" si="14"/>
        <v>158.52934378025756</v>
      </c>
      <c r="N15" s="202">
        <f t="shared" si="8"/>
        <v>350</v>
      </c>
      <c r="O15" s="222">
        <f t="shared" si="9"/>
        <v>0.39456717957534604</v>
      </c>
      <c r="P15" s="178">
        <f t="shared" si="10"/>
        <v>1.3528017585440435</v>
      </c>
      <c r="Q15" s="178">
        <f t="shared" si="11"/>
        <v>0.18681991103765203</v>
      </c>
      <c r="R15" s="178">
        <f t="shared" si="12"/>
        <v>0.99428571428571422</v>
      </c>
    </row>
    <row r="16" spans="3:19" x14ac:dyDescent="0.2">
      <c r="C16" s="175">
        <v>10</v>
      </c>
      <c r="D16" s="5">
        <f t="shared" si="13"/>
        <v>22.080000000000002</v>
      </c>
      <c r="E16" s="453">
        <f t="shared" si="0"/>
        <v>24.5</v>
      </c>
      <c r="F16" s="222">
        <f t="shared" si="1"/>
        <v>0.52597681408329755</v>
      </c>
      <c r="G16" s="177">
        <f t="shared" si="2"/>
        <v>7.9988449978531557</v>
      </c>
      <c r="H16" s="222">
        <f t="shared" si="3"/>
        <v>0.66657041648776294</v>
      </c>
      <c r="I16" s="453">
        <f t="shared" si="4"/>
        <v>46.58</v>
      </c>
      <c r="J16" s="177">
        <f t="shared" si="5"/>
        <v>0.87012562462055776</v>
      </c>
      <c r="K16" s="177">
        <f t="shared" si="6"/>
        <v>3.3102605284477735</v>
      </c>
      <c r="L16" s="177">
        <f t="shared" si="7"/>
        <v>2.9832878558419123</v>
      </c>
      <c r="M16" s="453">
        <f t="shared" si="14"/>
        <v>158.89287551935834</v>
      </c>
      <c r="N16" s="202">
        <f t="shared" si="8"/>
        <v>350</v>
      </c>
      <c r="O16" s="222">
        <f t="shared" si="9"/>
        <v>0.39501932159725206</v>
      </c>
      <c r="P16" s="178">
        <f t="shared" si="10"/>
        <v>1.3543519597620068</v>
      </c>
      <c r="Q16" s="178">
        <f t="shared" si="11"/>
        <v>0.18724831732218389</v>
      </c>
      <c r="R16" s="178">
        <f t="shared" si="12"/>
        <v>0.99428571428571422</v>
      </c>
    </row>
    <row r="17" spans="3:18" x14ac:dyDescent="0.2">
      <c r="C17" s="175">
        <v>11</v>
      </c>
      <c r="D17" s="5">
        <f t="shared" si="13"/>
        <v>22.128</v>
      </c>
      <c r="E17" s="453">
        <f t="shared" si="0"/>
        <v>24.5</v>
      </c>
      <c r="F17" s="222">
        <f t="shared" si="1"/>
        <v>0.52543536072745989</v>
      </c>
      <c r="G17" s="177">
        <f t="shared" si="2"/>
        <v>8.0079816848245677</v>
      </c>
      <c r="H17" s="222">
        <f t="shared" si="3"/>
        <v>0.66733180706871398</v>
      </c>
      <c r="I17" s="453">
        <f t="shared" si="4"/>
        <v>46.628</v>
      </c>
      <c r="J17" s="177">
        <f t="shared" si="5"/>
        <v>0.86913285693316056</v>
      </c>
      <c r="K17" s="177">
        <f t="shared" si="6"/>
        <v>3.299311279030436</v>
      </c>
      <c r="L17" s="177">
        <f t="shared" si="7"/>
        <v>2.9798840809136933</v>
      </c>
      <c r="M17" s="453">
        <f t="shared" si="14"/>
        <v>159.25607385607728</v>
      </c>
      <c r="N17" s="202">
        <f t="shared" si="8"/>
        <v>350</v>
      </c>
      <c r="O17" s="222">
        <f t="shared" si="9"/>
        <v>0.39547053272711674</v>
      </c>
      <c r="P17" s="178">
        <f t="shared" si="10"/>
        <v>1.3558989693501144</v>
      </c>
      <c r="Q17" s="178">
        <f t="shared" si="11"/>
        <v>0.18767633070656339</v>
      </c>
      <c r="R17" s="178">
        <f t="shared" si="12"/>
        <v>0.99428571428571422</v>
      </c>
    </row>
    <row r="18" spans="3:18" x14ac:dyDescent="0.2">
      <c r="C18" s="175">
        <v>12</v>
      </c>
      <c r="D18" s="5">
        <f t="shared" si="13"/>
        <v>22.176000000000002</v>
      </c>
      <c r="E18" s="453">
        <f t="shared" si="0"/>
        <v>24.5</v>
      </c>
      <c r="F18" s="222">
        <f t="shared" si="1"/>
        <v>0.52489502099580077</v>
      </c>
      <c r="G18" s="177">
        <f t="shared" si="2"/>
        <v>8.0170995800839826</v>
      </c>
      <c r="H18" s="222">
        <f t="shared" si="3"/>
        <v>0.66809163167366525</v>
      </c>
      <c r="I18" s="453">
        <f t="shared" si="4"/>
        <v>46.676000000000002</v>
      </c>
      <c r="J18" s="177">
        <f t="shared" si="5"/>
        <v>0.86814438694137963</v>
      </c>
      <c r="K18" s="177">
        <f t="shared" si="6"/>
        <v>3.2884257081112862</v>
      </c>
      <c r="L18" s="177">
        <f t="shared" si="7"/>
        <v>2.9764950409418733</v>
      </c>
      <c r="M18" s="453">
        <f t="shared" si="14"/>
        <v>159.6189385398265</v>
      </c>
      <c r="N18" s="202">
        <f t="shared" si="8"/>
        <v>350</v>
      </c>
      <c r="O18" s="222">
        <f t="shared" si="9"/>
        <v>0.3959208158368327</v>
      </c>
      <c r="P18" s="178">
        <f t="shared" si="10"/>
        <v>1.3574427971548548</v>
      </c>
      <c r="Q18" s="178">
        <f t="shared" si="11"/>
        <v>0.18810395089548382</v>
      </c>
      <c r="R18" s="178">
        <f t="shared" si="12"/>
        <v>0.99428571428571422</v>
      </c>
    </row>
    <row r="19" spans="3:18" x14ac:dyDescent="0.2">
      <c r="C19" s="175">
        <v>13</v>
      </c>
      <c r="D19" s="5">
        <f t="shared" si="13"/>
        <v>22.224</v>
      </c>
      <c r="E19" s="453">
        <f t="shared" si="0"/>
        <v>24.5</v>
      </c>
      <c r="F19" s="222">
        <f t="shared" si="1"/>
        <v>0.52435579145621092</v>
      </c>
      <c r="G19" s="177">
        <f t="shared" si="2"/>
        <v>8.0261987415461</v>
      </c>
      <c r="H19" s="222">
        <f t="shared" si="3"/>
        <v>0.66884989512884163</v>
      </c>
      <c r="I19" s="453">
        <f t="shared" si="4"/>
        <v>46.724000000000004</v>
      </c>
      <c r="J19" s="177">
        <f t="shared" si="5"/>
        <v>0.86716018679837537</v>
      </c>
      <c r="K19" s="177">
        <f t="shared" si="6"/>
        <v>3.2776032978340321</v>
      </c>
      <c r="L19" s="177">
        <f t="shared" si="7"/>
        <v>2.9731206404515724</v>
      </c>
      <c r="M19" s="453">
        <f t="shared" si="14"/>
        <v>159.98146932629879</v>
      </c>
      <c r="N19" s="202">
        <f t="shared" si="8"/>
        <v>350</v>
      </c>
      <c r="O19" s="222">
        <f t="shared" si="9"/>
        <v>0.39637017378649092</v>
      </c>
      <c r="P19" s="178">
        <f t="shared" si="10"/>
        <v>1.3589834529822544</v>
      </c>
      <c r="Q19" s="178">
        <f t="shared" si="11"/>
        <v>0.1885311776010396</v>
      </c>
      <c r="R19" s="178">
        <f t="shared" si="12"/>
        <v>0.99428571428571422</v>
      </c>
    </row>
    <row r="20" spans="3:18" x14ac:dyDescent="0.2">
      <c r="C20" s="175">
        <v>14</v>
      </c>
      <c r="D20" s="5">
        <f t="shared" si="13"/>
        <v>22.272000000000002</v>
      </c>
      <c r="E20" s="453">
        <f t="shared" si="0"/>
        <v>24.5</v>
      </c>
      <c r="F20" s="222">
        <f t="shared" si="1"/>
        <v>0.52381766869066959</v>
      </c>
      <c r="G20" s="177">
        <f t="shared" si="2"/>
        <v>8.0352792268878819</v>
      </c>
      <c r="H20" s="222">
        <f t="shared" si="3"/>
        <v>0.66960660224065682</v>
      </c>
      <c r="I20" s="453">
        <f t="shared" si="4"/>
        <v>46.772000000000006</v>
      </c>
      <c r="J20" s="177">
        <f t="shared" si="5"/>
        <v>0.86618022889736679</v>
      </c>
      <c r="K20" s="177">
        <f t="shared" si="6"/>
        <v>3.2668435357120513</v>
      </c>
      <c r="L20" s="177">
        <f t="shared" si="7"/>
        <v>2.9697607847909722</v>
      </c>
      <c r="M20" s="453">
        <f t="shared" si="14"/>
        <v>160.34366597740859</v>
      </c>
      <c r="N20" s="202">
        <f t="shared" si="8"/>
        <v>350</v>
      </c>
      <c r="O20" s="222">
        <f t="shared" si="9"/>
        <v>0.39681860942444203</v>
      </c>
      <c r="P20" s="178">
        <f t="shared" si="10"/>
        <v>1.360520946598087</v>
      </c>
      <c r="Q20" s="178">
        <f t="shared" si="11"/>
        <v>0.18895801054265746</v>
      </c>
      <c r="R20" s="178">
        <f t="shared" si="12"/>
        <v>0.99428571428571422</v>
      </c>
    </row>
    <row r="21" spans="3:18" x14ac:dyDescent="0.2">
      <c r="C21" s="175">
        <v>15</v>
      </c>
      <c r="D21" s="5">
        <f t="shared" si="13"/>
        <v>22.32</v>
      </c>
      <c r="E21" s="453">
        <f t="shared" si="0"/>
        <v>24.5</v>
      </c>
      <c r="F21" s="222">
        <f t="shared" si="1"/>
        <v>0.52328064929517304</v>
      </c>
      <c r="G21" s="177">
        <f t="shared" si="2"/>
        <v>8.0443410935497663</v>
      </c>
      <c r="H21" s="222">
        <f t="shared" si="3"/>
        <v>0.67036175779581386</v>
      </c>
      <c r="I21" s="453">
        <f t="shared" si="4"/>
        <v>46.82</v>
      </c>
      <c r="J21" s="177">
        <f t="shared" si="5"/>
        <v>0.86520448586905063</v>
      </c>
      <c r="K21" s="177">
        <f t="shared" si="6"/>
        <v>3.256145914560943</v>
      </c>
      <c r="L21" s="177">
        <f t="shared" si="7"/>
        <v>2.9664153801224589</v>
      </c>
      <c r="M21" s="453">
        <f t="shared" si="14"/>
        <v>160.70552826123333</v>
      </c>
      <c r="N21" s="202">
        <f t="shared" si="8"/>
        <v>350</v>
      </c>
      <c r="O21" s="222">
        <f t="shared" si="9"/>
        <v>0.39726612558735586</v>
      </c>
      <c r="P21" s="178">
        <f t="shared" si="10"/>
        <v>1.3620552877280772</v>
      </c>
      <c r="Q21" s="178">
        <f t="shared" si="11"/>
        <v>0.18938444944702656</v>
      </c>
      <c r="R21" s="178">
        <f t="shared" si="12"/>
        <v>0.99428571428571422</v>
      </c>
    </row>
    <row r="22" spans="3:18" s="3" customFormat="1" x14ac:dyDescent="0.2">
      <c r="C22" s="338">
        <v>16</v>
      </c>
      <c r="D22" s="547">
        <f t="shared" si="13"/>
        <v>22.368000000000002</v>
      </c>
      <c r="E22" s="548">
        <f t="shared" si="0"/>
        <v>24.5</v>
      </c>
      <c r="F22" s="549">
        <f t="shared" si="1"/>
        <v>0.52274472987966203</v>
      </c>
      <c r="G22" s="337">
        <f t="shared" si="2"/>
        <v>8.0533843987368776</v>
      </c>
      <c r="H22" s="549">
        <f t="shared" si="3"/>
        <v>0.67111536656140647</v>
      </c>
      <c r="I22" s="548">
        <f t="shared" si="4"/>
        <v>46.868000000000002</v>
      </c>
      <c r="J22" s="177">
        <f t="shared" si="5"/>
        <v>0.86423293057905348</v>
      </c>
      <c r="K22" s="337">
        <f t="shared" si="6"/>
        <v>3.2455099324320673</v>
      </c>
      <c r="L22" s="337">
        <f t="shared" si="7"/>
        <v>2.9630843334138977</v>
      </c>
      <c r="M22" s="548">
        <f t="shared" si="14"/>
        <v>161.06705595195513</v>
      </c>
      <c r="N22" s="340">
        <f t="shared" si="8"/>
        <v>350</v>
      </c>
      <c r="O22" s="549">
        <f t="shared" si="9"/>
        <v>0.39771272510028166</v>
      </c>
      <c r="P22" s="178">
        <f t="shared" si="10"/>
        <v>1.3635864860581086</v>
      </c>
      <c r="Q22" s="556">
        <f t="shared" si="11"/>
        <v>0.18981049404803066</v>
      </c>
      <c r="R22" s="178">
        <f t="shared" si="12"/>
        <v>0.99428571428571422</v>
      </c>
    </row>
    <row r="23" spans="3:18" x14ac:dyDescent="0.2">
      <c r="C23" s="175">
        <v>17</v>
      </c>
      <c r="D23" s="5">
        <f t="shared" si="13"/>
        <v>22.416</v>
      </c>
      <c r="E23" s="453">
        <f t="shared" si="0"/>
        <v>24.5</v>
      </c>
      <c r="F23" s="222">
        <f t="shared" si="1"/>
        <v>0.52220990706795123</v>
      </c>
      <c r="G23" s="177">
        <f t="shared" si="2"/>
        <v>8.0624091994202409</v>
      </c>
      <c r="H23" s="222">
        <f t="shared" si="3"/>
        <v>0.67186743328502008</v>
      </c>
      <c r="I23" s="453">
        <f t="shared" si="4"/>
        <v>46.915999999999997</v>
      </c>
      <c r="J23" s="177">
        <f t="shared" si="5"/>
        <v>0.86326553612541634</v>
      </c>
      <c r="K23" s="177">
        <f t="shared" si="6"/>
        <v>3.2349350925470635</v>
      </c>
      <c r="L23" s="177">
        <f t="shared" si="7"/>
        <v>2.9597675524299989</v>
      </c>
      <c r="M23" s="453">
        <f t="shared" si="14"/>
        <v>161.42824882980364</v>
      </c>
      <c r="N23" s="202">
        <f t="shared" si="8"/>
        <v>350</v>
      </c>
      <c r="O23" s="222">
        <f t="shared" si="9"/>
        <v>0.39815841077670727</v>
      </c>
      <c r="P23" s="178">
        <f t="shared" si="10"/>
        <v>1.3651145512344249</v>
      </c>
      <c r="Q23" s="178">
        <f t="shared" si="11"/>
        <v>0.1902361440866798</v>
      </c>
      <c r="R23" s="178">
        <f t="shared" si="12"/>
        <v>0.99428571428571422</v>
      </c>
    </row>
    <row r="24" spans="3:18" x14ac:dyDescent="0.2">
      <c r="C24" s="175">
        <v>18</v>
      </c>
      <c r="D24" s="5">
        <f t="shared" si="13"/>
        <v>22.464000000000002</v>
      </c>
      <c r="E24" s="453">
        <f t="shared" si="0"/>
        <v>24.5</v>
      </c>
      <c r="F24" s="222">
        <f t="shared" si="1"/>
        <v>0.52167617749765782</v>
      </c>
      <c r="G24" s="177">
        <f t="shared" si="2"/>
        <v>8.071415552337962</v>
      </c>
      <c r="H24" s="222">
        <f t="shared" si="3"/>
        <v>0.67261796269483021</v>
      </c>
      <c r="I24" s="453">
        <f t="shared" si="4"/>
        <v>46.963999999999999</v>
      </c>
      <c r="J24" s="177">
        <f t="shared" si="5"/>
        <v>0.86230227583611041</v>
      </c>
      <c r="K24" s="177">
        <f t="shared" si="6"/>
        <v>3.2244209032333182</v>
      </c>
      <c r="L24" s="177">
        <f t="shared" si="7"/>
        <v>2.9564649457238068</v>
      </c>
      <c r="M24" s="453">
        <f t="shared" si="14"/>
        <v>161.78910668099877</v>
      </c>
      <c r="N24" s="202">
        <f t="shared" si="8"/>
        <v>350</v>
      </c>
      <c r="O24" s="222">
        <f t="shared" si="9"/>
        <v>0.39860318541861861</v>
      </c>
      <c r="P24" s="178">
        <f t="shared" si="10"/>
        <v>1.3666394928638352</v>
      </c>
      <c r="Q24" s="178">
        <f t="shared" si="11"/>
        <v>0.19066139931104359</v>
      </c>
      <c r="R24" s="178">
        <f t="shared" si="12"/>
        <v>0.99428571428571422</v>
      </c>
    </row>
    <row r="25" spans="3:18" x14ac:dyDescent="0.2">
      <c r="C25" s="175">
        <v>19</v>
      </c>
      <c r="D25" s="5">
        <f t="shared" si="13"/>
        <v>22.512</v>
      </c>
      <c r="E25" s="453">
        <f t="shared" si="0"/>
        <v>24.5</v>
      </c>
      <c r="F25" s="222">
        <f t="shared" si="1"/>
        <v>0.52114353782013101</v>
      </c>
      <c r="G25" s="177">
        <f t="shared" si="2"/>
        <v>8.0804035139964245</v>
      </c>
      <c r="H25" s="222">
        <f t="shared" si="3"/>
        <v>0.67336695949970204</v>
      </c>
      <c r="I25" s="453">
        <f t="shared" si="4"/>
        <v>47.012</v>
      </c>
      <c r="J25" s="177">
        <f t="shared" si="5"/>
        <v>0.86134312326658879</v>
      </c>
      <c r="K25" s="177">
        <f t="shared" si="6"/>
        <v>3.2139668778604058</v>
      </c>
      <c r="L25" s="177">
        <f t="shared" si="7"/>
        <v>2.9531764226283044</v>
      </c>
      <c r="M25" s="453">
        <f t="shared" si="14"/>
        <v>162.14962929769374</v>
      </c>
      <c r="N25" s="202">
        <f t="shared" si="8"/>
        <v>350</v>
      </c>
      <c r="O25" s="222">
        <f t="shared" si="9"/>
        <v>0.39904705181655759</v>
      </c>
      <c r="P25" s="178">
        <f t="shared" si="10"/>
        <v>1.3681613205139116</v>
      </c>
      <c r="Q25" s="178">
        <f t="shared" si="11"/>
        <v>0.19108625947618368</v>
      </c>
      <c r="R25" s="178">
        <f t="shared" si="12"/>
        <v>0.99428571428571422</v>
      </c>
    </row>
    <row r="26" spans="3:18" x14ac:dyDescent="0.2">
      <c r="C26" s="175">
        <v>20</v>
      </c>
      <c r="D26" s="5">
        <f t="shared" si="13"/>
        <v>22.560000000000002</v>
      </c>
      <c r="E26" s="453">
        <f t="shared" si="0"/>
        <v>24.5</v>
      </c>
      <c r="F26" s="222">
        <f t="shared" si="1"/>
        <v>0.5206119847003825</v>
      </c>
      <c r="G26" s="177">
        <f t="shared" si="2"/>
        <v>8.0893731406714835</v>
      </c>
      <c r="H26" s="222">
        <f t="shared" si="3"/>
        <v>0.67411442838929025</v>
      </c>
      <c r="I26" s="453">
        <f t="shared" si="4"/>
        <v>47.06</v>
      </c>
      <c r="J26" s="177">
        <f t="shared" si="5"/>
        <v>0.8603880521973627</v>
      </c>
      <c r="K26" s="177">
        <f t="shared" si="6"/>
        <v>3.2035725347774133</v>
      </c>
      <c r="L26" s="177">
        <f t="shared" si="7"/>
        <v>2.9499018932481</v>
      </c>
      <c r="M26" s="453">
        <f t="shared" si="14"/>
        <v>162.50981647792003</v>
      </c>
      <c r="N26" s="202">
        <f t="shared" si="8"/>
        <v>350</v>
      </c>
      <c r="O26" s="222">
        <f t="shared" si="9"/>
        <v>0.39949001274968127</v>
      </c>
      <c r="P26" s="178">
        <f t="shared" si="10"/>
        <v>1.3696800437131931</v>
      </c>
      <c r="Q26" s="178">
        <f t="shared" si="11"/>
        <v>0.19151072434408864</v>
      </c>
      <c r="R26" s="178">
        <f t="shared" si="12"/>
        <v>0.99428571428571422</v>
      </c>
    </row>
    <row r="27" spans="3:18" x14ac:dyDescent="0.2">
      <c r="C27" s="175">
        <v>21</v>
      </c>
      <c r="D27" s="5">
        <f t="shared" si="13"/>
        <v>22.608000000000001</v>
      </c>
      <c r="E27" s="453">
        <f t="shared" si="0"/>
        <v>24.5</v>
      </c>
      <c r="F27" s="222">
        <f t="shared" si="1"/>
        <v>0.52008151481701614</v>
      </c>
      <c r="G27" s="177">
        <f t="shared" si="2"/>
        <v>8.0983244884096113</v>
      </c>
      <c r="H27" s="222">
        <f t="shared" si="3"/>
        <v>0.67486037403413424</v>
      </c>
      <c r="I27" s="453">
        <f t="shared" si="4"/>
        <v>47.108000000000004</v>
      </c>
      <c r="J27" s="177">
        <f t="shared" si="5"/>
        <v>0.85943703663161575</v>
      </c>
      <c r="K27" s="177">
        <f t="shared" si="6"/>
        <v>3.193237397251226</v>
      </c>
      <c r="L27" s="177">
        <f t="shared" si="7"/>
        <v>2.9466412684512537</v>
      </c>
      <c r="M27" s="453">
        <f t="shared" si="14"/>
        <v>162.86966802553053</v>
      </c>
      <c r="N27" s="202">
        <f t="shared" si="8"/>
        <v>350</v>
      </c>
      <c r="O27" s="222">
        <f t="shared" si="9"/>
        <v>0.39993207098581984</v>
      </c>
      <c r="P27" s="178">
        <f t="shared" si="10"/>
        <v>1.3711956719513823</v>
      </c>
      <c r="Q27" s="178">
        <f t="shared" si="11"/>
        <v>0.19193479368360819</v>
      </c>
      <c r="R27" s="178">
        <f t="shared" si="12"/>
        <v>0.99428571428571422</v>
      </c>
    </row>
    <row r="28" spans="3:18" x14ac:dyDescent="0.2">
      <c r="C28" s="175">
        <v>22</v>
      </c>
      <c r="D28" s="5">
        <f t="shared" si="13"/>
        <v>22.656000000000002</v>
      </c>
      <c r="E28" s="453">
        <f t="shared" si="0"/>
        <v>24.5</v>
      </c>
      <c r="F28" s="222">
        <f t="shared" si="1"/>
        <v>0.51955212486215963</v>
      </c>
      <c r="G28" s="177">
        <f t="shared" si="2"/>
        <v>8.1072576130290948</v>
      </c>
      <c r="H28" s="222">
        <f t="shared" si="3"/>
        <v>0.67560480108575793</v>
      </c>
      <c r="I28" s="453">
        <f t="shared" si="4"/>
        <v>47.156000000000006</v>
      </c>
      <c r="J28" s="177">
        <f t="shared" si="5"/>
        <v>0.85849005079284169</v>
      </c>
      <c r="K28" s="177">
        <f t="shared" si="6"/>
        <v>3.1829609934056626</v>
      </c>
      <c r="L28" s="177">
        <f t="shared" si="7"/>
        <v>2.9433944598611714</v>
      </c>
      <c r="M28" s="453">
        <f t="shared" si="14"/>
        <v>163.22918375014584</v>
      </c>
      <c r="N28" s="202">
        <f t="shared" si="8"/>
        <v>350</v>
      </c>
      <c r="O28" s="222">
        <f t="shared" si="9"/>
        <v>0.40037322928153374</v>
      </c>
      <c r="P28" s="178">
        <f t="shared" si="10"/>
        <v>1.3727082146795442</v>
      </c>
      <c r="Q28" s="178">
        <f t="shared" si="11"/>
        <v>0.1923584672703883</v>
      </c>
      <c r="R28" s="178">
        <f t="shared" si="12"/>
        <v>0.99428571428571422</v>
      </c>
    </row>
    <row r="29" spans="3:18" x14ac:dyDescent="0.2">
      <c r="C29" s="175">
        <v>23</v>
      </c>
      <c r="D29" s="5">
        <f t="shared" si="13"/>
        <v>22.704000000000001</v>
      </c>
      <c r="E29" s="453">
        <f t="shared" si="0"/>
        <v>24.5</v>
      </c>
      <c r="F29" s="222">
        <f t="shared" si="1"/>
        <v>0.51902381154139476</v>
      </c>
      <c r="G29" s="177">
        <f t="shared" si="2"/>
        <v>8.116172570121174</v>
      </c>
      <c r="H29" s="222">
        <f t="shared" si="3"/>
        <v>0.67634771417676454</v>
      </c>
      <c r="I29" s="453">
        <f t="shared" si="4"/>
        <v>47.204000000000001</v>
      </c>
      <c r="J29" s="177">
        <f t="shared" si="5"/>
        <v>0.85754706912251966</v>
      </c>
      <c r="K29" s="177">
        <f t="shared" si="6"/>
        <v>3.1727428561615416</v>
      </c>
      <c r="L29" s="177">
        <f t="shared" si="7"/>
        <v>2.9401613798486386</v>
      </c>
      <c r="M29" s="453">
        <f t="shared" si="14"/>
        <v>163.58836346709856</v>
      </c>
      <c r="N29" s="202">
        <f t="shared" si="8"/>
        <v>350</v>
      </c>
      <c r="O29" s="222">
        <f t="shared" si="9"/>
        <v>0.40081349038217101</v>
      </c>
      <c r="P29" s="178">
        <f t="shared" si="10"/>
        <v>1.3742176813103006</v>
      </c>
      <c r="Q29" s="178">
        <f t="shared" si="11"/>
        <v>0.19278174488680641</v>
      </c>
      <c r="R29" s="178">
        <f t="shared" si="12"/>
        <v>0.99428571428571422</v>
      </c>
    </row>
    <row r="30" spans="3:18" x14ac:dyDescent="0.2">
      <c r="C30" s="175">
        <v>24</v>
      </c>
      <c r="D30" s="5">
        <f t="shared" si="13"/>
        <v>22.752000000000002</v>
      </c>
      <c r="E30" s="453">
        <f t="shared" si="0"/>
        <v>24.5</v>
      </c>
      <c r="F30" s="222">
        <f t="shared" si="1"/>
        <v>0.51849657157369</v>
      </c>
      <c r="G30" s="177">
        <f t="shared" si="2"/>
        <v>8.1250694150512146</v>
      </c>
      <c r="H30" s="222">
        <f t="shared" si="3"/>
        <v>0.67708911792093451</v>
      </c>
      <c r="I30" s="453">
        <f t="shared" si="4"/>
        <v>47.252000000000002</v>
      </c>
      <c r="J30" s="177">
        <f t="shared" si="5"/>
        <v>0.85660806627781039</v>
      </c>
      <c r="K30" s="177">
        <f t="shared" si="6"/>
        <v>3.1625825231775697</v>
      </c>
      <c r="L30" s="177">
        <f t="shared" si="7"/>
        <v>2.9369419415239215</v>
      </c>
      <c r="M30" s="453">
        <f t="shared" si="14"/>
        <v>163.94720699738019</v>
      </c>
      <c r="N30" s="202">
        <f t="shared" si="8"/>
        <v>350</v>
      </c>
      <c r="O30" s="222">
        <f t="shared" si="9"/>
        <v>0.40125285702192504</v>
      </c>
      <c r="P30" s="178">
        <f t="shared" si="10"/>
        <v>1.3757240812180287</v>
      </c>
      <c r="Q30" s="178">
        <f t="shared" si="11"/>
        <v>0.19320462632190891</v>
      </c>
      <c r="R30" s="178">
        <f t="shared" si="12"/>
        <v>0.99428571428571422</v>
      </c>
    </row>
    <row r="31" spans="3:18" x14ac:dyDescent="0.2">
      <c r="C31" s="175">
        <v>25</v>
      </c>
      <c r="D31" s="5">
        <f t="shared" si="13"/>
        <v>22.8</v>
      </c>
      <c r="E31" s="453">
        <f t="shared" si="0"/>
        <v>24.5</v>
      </c>
      <c r="F31" s="222">
        <f t="shared" si="1"/>
        <v>0.51797040169133191</v>
      </c>
      <c r="G31" s="177">
        <f t="shared" si="2"/>
        <v>8.1339482029598287</v>
      </c>
      <c r="H31" s="222">
        <f t="shared" si="3"/>
        <v>0.67782901691331909</v>
      </c>
      <c r="I31" s="453">
        <f t="shared" si="4"/>
        <v>47.3</v>
      </c>
      <c r="J31" s="177">
        <f t="shared" si="5"/>
        <v>0.85567301712928956</v>
      </c>
      <c r="K31" s="177">
        <f t="shared" si="6"/>
        <v>3.1524795367921192</v>
      </c>
      <c r="L31" s="177">
        <f t="shared" si="7"/>
        <v>2.9337360587289925</v>
      </c>
      <c r="M31" s="453">
        <f t="shared" si="14"/>
        <v>164.30571416758667</v>
      </c>
      <c r="N31" s="202">
        <f t="shared" si="8"/>
        <v>350</v>
      </c>
      <c r="O31" s="222">
        <f t="shared" si="9"/>
        <v>0.40169133192389012</v>
      </c>
      <c r="P31" s="178">
        <f t="shared" si="10"/>
        <v>1.3772274237390518</v>
      </c>
      <c r="Q31" s="178">
        <f t="shared" si="11"/>
        <v>0.19362711137134664</v>
      </c>
      <c r="R31" s="178">
        <f t="shared" si="12"/>
        <v>0.99428571428571422</v>
      </c>
    </row>
    <row r="32" spans="3:18" x14ac:dyDescent="0.2">
      <c r="C32" s="175">
        <v>26</v>
      </c>
      <c r="D32" s="5">
        <f t="shared" si="13"/>
        <v>22.847999999999999</v>
      </c>
      <c r="E32" s="453">
        <f t="shared" si="0"/>
        <v>24.5</v>
      </c>
      <c r="F32" s="222">
        <f t="shared" si="1"/>
        <v>0.51744529863985811</v>
      </c>
      <c r="G32" s="177">
        <f t="shared" si="2"/>
        <v>8.1428089887640454</v>
      </c>
      <c r="H32" s="222">
        <f t="shared" si="3"/>
        <v>0.67856741573033708</v>
      </c>
      <c r="I32" s="453">
        <f t="shared" si="4"/>
        <v>47.347999999999999</v>
      </c>
      <c r="J32" s="177">
        <f t="shared" si="5"/>
        <v>0.85474189675870371</v>
      </c>
      <c r="K32" s="177">
        <f t="shared" si="6"/>
        <v>3.1424334439658224</v>
      </c>
      <c r="L32" s="177">
        <f t="shared" si="7"/>
        <v>2.9305436460298413</v>
      </c>
      <c r="M32" s="453">
        <f t="shared" si="14"/>
        <v>164.66388480986581</v>
      </c>
      <c r="N32" s="202">
        <f t="shared" si="8"/>
        <v>350</v>
      </c>
      <c r="O32" s="222">
        <f t="shared" si="9"/>
        <v>0.40212891780011828</v>
      </c>
      <c r="P32" s="178">
        <f t="shared" si="10"/>
        <v>1.378727718171834</v>
      </c>
      <c r="Q32" s="178">
        <f t="shared" si="11"/>
        <v>0.19404919983731314</v>
      </c>
      <c r="R32" s="178">
        <f t="shared" si="12"/>
        <v>0.99428571428571422</v>
      </c>
    </row>
    <row r="33" spans="3:18" x14ac:dyDescent="0.2">
      <c r="C33" s="175">
        <v>27</v>
      </c>
      <c r="D33" s="5">
        <f t="shared" si="13"/>
        <v>22.896000000000001</v>
      </c>
      <c r="E33" s="453">
        <f t="shared" si="0"/>
        <v>24.5</v>
      </c>
      <c r="F33" s="222">
        <f t="shared" si="1"/>
        <v>0.5169212591779897</v>
      </c>
      <c r="G33" s="177">
        <f t="shared" si="2"/>
        <v>8.1516518271584104</v>
      </c>
      <c r="H33" s="222">
        <f t="shared" si="3"/>
        <v>0.67930431892986753</v>
      </c>
      <c r="I33" s="453">
        <f t="shared" si="4"/>
        <v>47.396000000000001</v>
      </c>
      <c r="J33" s="177">
        <f t="shared" si="5"/>
        <v>0.85381468045675746</v>
      </c>
      <c r="K33" s="177">
        <f t="shared" si="6"/>
        <v>3.1324437962250009</v>
      </c>
      <c r="L33" s="177">
        <f t="shared" si="7"/>
        <v>2.9273646187088826</v>
      </c>
      <c r="M33" s="453">
        <f t="shared" si="14"/>
        <v>165.02171876186463</v>
      </c>
      <c r="N33" s="202">
        <f t="shared" si="8"/>
        <v>350</v>
      </c>
      <c r="O33" s="222">
        <f t="shared" si="9"/>
        <v>0.40256561735167529</v>
      </c>
      <c r="P33" s="178">
        <f t="shared" si="10"/>
        <v>1.3802249737771721</v>
      </c>
      <c r="Q33" s="178">
        <f t="shared" si="11"/>
        <v>0.19447089152848249</v>
      </c>
      <c r="R33" s="178">
        <f t="shared" si="12"/>
        <v>0.99428571428571422</v>
      </c>
    </row>
    <row r="34" spans="3:18" x14ac:dyDescent="0.2">
      <c r="C34" s="175">
        <v>28</v>
      </c>
      <c r="D34" s="5">
        <f t="shared" si="13"/>
        <v>22.944000000000003</v>
      </c>
      <c r="E34" s="453">
        <f t="shared" si="0"/>
        <v>24.5</v>
      </c>
      <c r="F34" s="222">
        <f t="shared" si="1"/>
        <v>0.51639828007756505</v>
      </c>
      <c r="G34" s="177">
        <f t="shared" si="2"/>
        <v>8.1604767726161356</v>
      </c>
      <c r="H34" s="222">
        <f t="shared" si="3"/>
        <v>0.68003973105134463</v>
      </c>
      <c r="I34" s="453">
        <f t="shared" si="4"/>
        <v>47.444000000000003</v>
      </c>
      <c r="J34" s="177">
        <f t="shared" si="5"/>
        <v>0.85289134372092834</v>
      </c>
      <c r="K34" s="177">
        <f t="shared" si="6"/>
        <v>3.1225101496059091</v>
      </c>
      <c r="L34" s="177">
        <f t="shared" si="7"/>
        <v>2.9241988927574685</v>
      </c>
      <c r="M34" s="453">
        <f t="shared" si="14"/>
        <v>165.37921586667687</v>
      </c>
      <c r="N34" s="202">
        <f t="shared" si="8"/>
        <v>350</v>
      </c>
      <c r="O34" s="222">
        <f t="shared" si="9"/>
        <v>0.40300143326869575</v>
      </c>
      <c r="P34" s="178">
        <f t="shared" si="10"/>
        <v>1.3817191997783853</v>
      </c>
      <c r="Q34" s="178">
        <f t="shared" si="11"/>
        <v>0.19489218625994764</v>
      </c>
      <c r="R34" s="178">
        <f t="shared" si="12"/>
        <v>0.99428571428571422</v>
      </c>
    </row>
    <row r="35" spans="3:18" x14ac:dyDescent="0.2">
      <c r="C35" s="175">
        <v>29</v>
      </c>
      <c r="D35" s="5">
        <f t="shared" si="13"/>
        <v>22.992000000000001</v>
      </c>
      <c r="E35" s="453">
        <f t="shared" si="0"/>
        <v>24.5</v>
      </c>
      <c r="F35" s="222">
        <f t="shared" si="1"/>
        <v>0.51587635812347343</v>
      </c>
      <c r="G35" s="177">
        <f t="shared" si="2"/>
        <v>8.1692838793902123</v>
      </c>
      <c r="H35" s="222">
        <f t="shared" si="3"/>
        <v>0.68077365661585099</v>
      </c>
      <c r="I35" s="453">
        <f t="shared" si="4"/>
        <v>47.492000000000004</v>
      </c>
      <c r="J35" s="177">
        <f t="shared" si="5"/>
        <v>0.85197186225330701</v>
      </c>
      <c r="K35" s="177">
        <f t="shared" si="6"/>
        <v>3.1126320645997643</v>
      </c>
      <c r="L35" s="177">
        <f t="shared" si="7"/>
        <v>2.9210463848684811</v>
      </c>
      <c r="M35" s="453">
        <f t="shared" si="14"/>
        <v>165.73637597279171</v>
      </c>
      <c r="N35" s="202">
        <f t="shared" si="8"/>
        <v>350</v>
      </c>
      <c r="O35" s="222">
        <f t="shared" si="9"/>
        <v>0.40343636823043888</v>
      </c>
      <c r="P35" s="178">
        <f t="shared" si="10"/>
        <v>1.3832104053615046</v>
      </c>
      <c r="Q35" s="178">
        <f t="shared" si="11"/>
        <v>0.19531308385315949</v>
      </c>
      <c r="R35" s="178">
        <f t="shared" si="12"/>
        <v>0.99428571428571422</v>
      </c>
    </row>
    <row r="36" spans="3:18" x14ac:dyDescent="0.2">
      <c r="C36" s="175">
        <v>30</v>
      </c>
      <c r="D36" s="5">
        <f t="shared" si="13"/>
        <v>23.04</v>
      </c>
      <c r="E36" s="453">
        <f t="shared" si="0"/>
        <v>24.5</v>
      </c>
      <c r="F36" s="222">
        <f t="shared" si="1"/>
        <v>0.51535549011358861</v>
      </c>
      <c r="G36" s="177">
        <f t="shared" si="2"/>
        <v>8.1780732015145148</v>
      </c>
      <c r="H36" s="222">
        <f t="shared" si="3"/>
        <v>0.6815061001262096</v>
      </c>
      <c r="I36" s="453">
        <f t="shared" si="4"/>
        <v>47.54</v>
      </c>
      <c r="J36" s="177">
        <f t="shared" si="5"/>
        <v>0.8510562119584677</v>
      </c>
      <c r="K36" s="177">
        <f t="shared" si="6"/>
        <v>3.1028091060985798</v>
      </c>
      <c r="L36" s="177">
        <f t="shared" si="7"/>
        <v>2.9179070124290321</v>
      </c>
      <c r="M36" s="453">
        <f t="shared" si="14"/>
        <v>166.09319893404202</v>
      </c>
      <c r="N36" s="202">
        <f t="shared" si="8"/>
        <v>350</v>
      </c>
      <c r="O36" s="222">
        <f t="shared" si="9"/>
        <v>0.40387042490534286</v>
      </c>
      <c r="P36" s="178">
        <f t="shared" si="10"/>
        <v>1.3846985996754613</v>
      </c>
      <c r="Q36" s="178">
        <f t="shared" si="11"/>
        <v>0.19573358413586664</v>
      </c>
      <c r="R36" s="178">
        <f t="shared" si="12"/>
        <v>0.99428571428571422</v>
      </c>
    </row>
    <row r="37" spans="3:18" x14ac:dyDescent="0.2">
      <c r="C37" s="175">
        <v>31</v>
      </c>
      <c r="D37" s="5">
        <f t="shared" si="13"/>
        <v>23.088000000000001</v>
      </c>
      <c r="E37" s="453">
        <f t="shared" si="0"/>
        <v>24.5</v>
      </c>
      <c r="F37" s="222">
        <f t="shared" si="1"/>
        <v>0.51483567285870391</v>
      </c>
      <c r="G37" s="177">
        <f t="shared" si="2"/>
        <v>8.1868447928049086</v>
      </c>
      <c r="H37" s="222">
        <f t="shared" si="3"/>
        <v>0.68223706606707568</v>
      </c>
      <c r="I37" s="453">
        <f t="shared" si="4"/>
        <v>47.588000000000001</v>
      </c>
      <c r="J37" s="177">
        <f t="shared" si="5"/>
        <v>0.85014436894136147</v>
      </c>
      <c r="K37" s="177">
        <f t="shared" si="6"/>
        <v>3.0930408433417509</v>
      </c>
      <c r="L37" s="177">
        <f t="shared" si="7"/>
        <v>2.9147806935132392</v>
      </c>
      <c r="M37" s="453">
        <f t="shared" si="14"/>
        <v>166.44968460955414</v>
      </c>
      <c r="N37" s="202">
        <f t="shared" si="8"/>
        <v>350</v>
      </c>
      <c r="O37" s="222">
        <f t="shared" si="9"/>
        <v>0.40430360595108011</v>
      </c>
      <c r="P37" s="178">
        <f t="shared" si="10"/>
        <v>1.3861837918322746</v>
      </c>
      <c r="Q37" s="178">
        <f t="shared" si="11"/>
        <v>0.19615368694205548</v>
      </c>
      <c r="R37" s="178">
        <f t="shared" si="12"/>
        <v>0.99428571428571422</v>
      </c>
    </row>
    <row r="38" spans="3:18" x14ac:dyDescent="0.2">
      <c r="C38" s="175">
        <v>32</v>
      </c>
      <c r="D38" s="5">
        <f t="shared" si="13"/>
        <v>23.135999999999999</v>
      </c>
      <c r="E38" s="453">
        <f t="shared" ref="E38:E69" si="15">(Vout+Vfwd1)*Nps</f>
        <v>24.5</v>
      </c>
      <c r="F38" s="222">
        <f t="shared" ref="F38:F69" si="16">(Vout+Vfwd1)*Nps/((Vout+Vfwd1)*Nps+D38)</f>
        <v>0.51431690318246703</v>
      </c>
      <c r="G38" s="177">
        <f t="shared" ref="G38:G69" si="17">F38*D38*Isw_max*0.5*Efficiency</f>
        <v>8.1955987068603573</v>
      </c>
      <c r="H38" s="222">
        <f t="shared" ref="H38:H69" si="18">G38/Vout</f>
        <v>0.68296655890502977</v>
      </c>
      <c r="I38" s="453">
        <f t="shared" ref="I38:I69" si="19">(Vout+Vfwd1)*Nps+D38</f>
        <v>47.635999999999996</v>
      </c>
      <c r="J38" s="177">
        <f t="shared" ref="J38:J69" si="20">MIN(2*Vout*Iout/(Efficiency*D38*F38), 1.35)</f>
        <v>0.84923630950523921</v>
      </c>
      <c r="K38" s="177">
        <f t="shared" ref="K38:K69" si="21">L*J38/D38*1000000</f>
        <v>3.0833268498634201</v>
      </c>
      <c r="L38" s="177">
        <f t="shared" ref="L38:L69" si="22">L*J38/((Vout+Vfwd1)*Nps)*1000000</f>
        <v>2.9116673468751055</v>
      </c>
      <c r="M38" s="453">
        <f t="shared" si="14"/>
        <v>166.80583286369699</v>
      </c>
      <c r="N38" s="202">
        <f t="shared" ref="N38:N69" si="23">IF(1/((350000*L)*(1/D38+1/E38))&gt;Isw_min, 350, 0.001/((Isw_min*L)*(1/D38+1/E38)))</f>
        <v>350</v>
      </c>
      <c r="O38" s="222">
        <f t="shared" ref="O38:O69" si="24">1/((N38*1000*L)*(1/D38+1/E38))</f>
        <v>0.40473591401461079</v>
      </c>
      <c r="P38" s="178">
        <f t="shared" ref="P38:P69" si="25">L*O38/E38*1000000</f>
        <v>1.3876659909072371</v>
      </c>
      <c r="Q38" s="178">
        <f t="shared" ref="Q38:Q69" si="26">0.5*P38*O38*Nps*N38/1000</f>
        <v>0.1965733921118909</v>
      </c>
      <c r="R38" s="178">
        <f t="shared" ref="R38:R69" si="27">L*Isw_min/E38*1000000</f>
        <v>0.99428571428571422</v>
      </c>
    </row>
    <row r="39" spans="3:18" x14ac:dyDescent="0.2">
      <c r="C39" s="175">
        <v>33</v>
      </c>
      <c r="D39" s="5">
        <f t="shared" ref="D39:D70" si="28">C39/100*(VIN_max-VIN_min)+VIN_min</f>
        <v>23.184000000000001</v>
      </c>
      <c r="E39" s="453">
        <f t="shared" si="15"/>
        <v>24.5</v>
      </c>
      <c r="F39" s="222">
        <f t="shared" si="16"/>
        <v>0.51379917792131535</v>
      </c>
      <c r="G39" s="177">
        <f t="shared" si="17"/>
        <v>8.2043349970640058</v>
      </c>
      <c r="H39" s="222">
        <f t="shared" si="18"/>
        <v>0.68369458308866715</v>
      </c>
      <c r="I39" s="453">
        <f t="shared" si="19"/>
        <v>47.683999999999997</v>
      </c>
      <c r="J39" s="177">
        <f t="shared" si="20"/>
        <v>0.84833201014959769</v>
      </c>
      <c r="K39" s="177">
        <f t="shared" si="21"/>
        <v>3.0736667034405714</v>
      </c>
      <c r="L39" s="177">
        <f t="shared" si="22"/>
        <v>2.908566891941478</v>
      </c>
      <c r="M39" s="453">
        <f t="shared" si="14"/>
        <v>167.16164356603264</v>
      </c>
      <c r="N39" s="202">
        <f t="shared" si="23"/>
        <v>350</v>
      </c>
      <c r="O39" s="222">
        <f t="shared" si="24"/>
        <v>0.40516735173223728</v>
      </c>
      <c r="P39" s="178">
        <f t="shared" si="25"/>
        <v>1.3891452059390992</v>
      </c>
      <c r="Q39" s="178">
        <f t="shared" si="26"/>
        <v>0.19699269949165737</v>
      </c>
      <c r="R39" s="178">
        <f t="shared" si="27"/>
        <v>0.99428571428571422</v>
      </c>
    </row>
    <row r="40" spans="3:18" x14ac:dyDescent="0.2">
      <c r="C40" s="175">
        <v>34</v>
      </c>
      <c r="D40" s="5">
        <f t="shared" si="28"/>
        <v>23.231999999999999</v>
      </c>
      <c r="E40" s="453">
        <f t="shared" si="15"/>
        <v>24.5</v>
      </c>
      <c r="F40" s="222">
        <f t="shared" si="16"/>
        <v>0.51328249392441128</v>
      </c>
      <c r="G40" s="177">
        <f t="shared" si="17"/>
        <v>8.2130537165842608</v>
      </c>
      <c r="H40" s="222">
        <f t="shared" si="18"/>
        <v>0.6844211430486884</v>
      </c>
      <c r="I40" s="453">
        <f t="shared" si="19"/>
        <v>47.731999999999999</v>
      </c>
      <c r="J40" s="177">
        <f t="shared" si="20"/>
        <v>0.84743144756815314</v>
      </c>
      <c r="K40" s="177">
        <f t="shared" si="21"/>
        <v>3.064059986041876</v>
      </c>
      <c r="L40" s="177">
        <f t="shared" si="22"/>
        <v>2.9054792488050962</v>
      </c>
      <c r="M40" s="453">
        <f t="shared" si="14"/>
        <v>167.5171165912665</v>
      </c>
      <c r="N40" s="202">
        <f t="shared" si="23"/>
        <v>350</v>
      </c>
      <c r="O40" s="222">
        <f t="shared" si="24"/>
        <v>0.40559792172965725</v>
      </c>
      <c r="P40" s="178">
        <f t="shared" si="25"/>
        <v>1.3906214459302535</v>
      </c>
      <c r="Q40" s="178">
        <f t="shared" si="26"/>
        <v>0.19741160893370063</v>
      </c>
      <c r="R40" s="178">
        <f t="shared" si="27"/>
        <v>0.99428571428571422</v>
      </c>
    </row>
    <row r="41" spans="3:18" x14ac:dyDescent="0.2">
      <c r="C41" s="175">
        <v>35</v>
      </c>
      <c r="D41" s="5">
        <f t="shared" si="28"/>
        <v>23.28</v>
      </c>
      <c r="E41" s="453">
        <f t="shared" si="15"/>
        <v>24.5</v>
      </c>
      <c r="F41" s="222">
        <f t="shared" si="16"/>
        <v>0.51276684805357886</v>
      </c>
      <c r="G41" s="177">
        <f t="shared" si="17"/>
        <v>8.221754918375888</v>
      </c>
      <c r="H41" s="222">
        <f t="shared" si="18"/>
        <v>0.68514624319799067</v>
      </c>
      <c r="I41" s="453">
        <f t="shared" si="19"/>
        <v>47.78</v>
      </c>
      <c r="J41" s="177">
        <f t="shared" si="20"/>
        <v>0.84653459864683822</v>
      </c>
      <c r="K41" s="177">
        <f t="shared" si="21"/>
        <v>3.0545062837772505</v>
      </c>
      <c r="L41" s="177">
        <f t="shared" si="22"/>
        <v>2.9024043382177305</v>
      </c>
      <c r="M41" s="453">
        <f t="shared" si="14"/>
        <v>167.87225181919854</v>
      </c>
      <c r="N41" s="202">
        <f t="shared" si="23"/>
        <v>350</v>
      </c>
      <c r="O41" s="222">
        <f t="shared" si="24"/>
        <v>0.40602762662201758</v>
      </c>
      <c r="P41" s="178">
        <f t="shared" si="25"/>
        <v>1.3920947198469174</v>
      </c>
      <c r="Q41" s="178">
        <f t="shared" si="26"/>
        <v>0.1978301202963702</v>
      </c>
      <c r="R41" s="178">
        <f t="shared" si="27"/>
        <v>0.99428571428571422</v>
      </c>
    </row>
    <row r="42" spans="3:18" x14ac:dyDescent="0.2">
      <c r="C42" s="175">
        <v>36</v>
      </c>
      <c r="D42" s="5">
        <f t="shared" si="28"/>
        <v>23.327999999999999</v>
      </c>
      <c r="E42" s="453">
        <f t="shared" si="15"/>
        <v>24.5</v>
      </c>
      <c r="F42" s="222">
        <f t="shared" si="16"/>
        <v>0.51225223718323987</v>
      </c>
      <c r="G42" s="177">
        <f t="shared" si="17"/>
        <v>8.2304386551810644</v>
      </c>
      <c r="H42" s="222">
        <f t="shared" si="18"/>
        <v>0.68586988793175541</v>
      </c>
      <c r="I42" s="453">
        <f t="shared" si="19"/>
        <v>47.828000000000003</v>
      </c>
      <c r="J42" s="177">
        <f t="shared" si="20"/>
        <v>0.84564144046182499</v>
      </c>
      <c r="K42" s="177">
        <f t="shared" si="21"/>
        <v>3.0450051868481349</v>
      </c>
      <c r="L42" s="177">
        <f t="shared" si="22"/>
        <v>2.8993420815833999</v>
      </c>
      <c r="M42" s="453">
        <f t="shared" si="14"/>
        <v>168.22704913467447</v>
      </c>
      <c r="N42" s="202">
        <f t="shared" si="23"/>
        <v>350</v>
      </c>
      <c r="O42" s="222">
        <f t="shared" si="24"/>
        <v>0.40645646901396676</v>
      </c>
      <c r="P42" s="178">
        <f t="shared" si="25"/>
        <v>1.3935650366193144</v>
      </c>
      <c r="Q42" s="178">
        <f t="shared" si="26"/>
        <v>0.19824823344396203</v>
      </c>
      <c r="R42" s="178">
        <f t="shared" si="27"/>
        <v>0.99428571428571422</v>
      </c>
    </row>
    <row r="43" spans="3:18" x14ac:dyDescent="0.2">
      <c r="C43" s="175">
        <v>37</v>
      </c>
      <c r="D43" s="5">
        <f t="shared" si="28"/>
        <v>23.376000000000001</v>
      </c>
      <c r="E43" s="453">
        <f t="shared" si="15"/>
        <v>24.5</v>
      </c>
      <c r="F43" s="222">
        <f t="shared" si="16"/>
        <v>0.5117386582003508</v>
      </c>
      <c r="G43" s="177">
        <f t="shared" si="17"/>
        <v>8.2391049795304525</v>
      </c>
      <c r="H43" s="222">
        <f t="shared" si="18"/>
        <v>0.68659208162753771</v>
      </c>
      <c r="I43" s="453">
        <f t="shared" si="19"/>
        <v>47.876000000000005</v>
      </c>
      <c r="J43" s="177">
        <f t="shared" si="20"/>
        <v>0.84475195027757155</v>
      </c>
      <c r="K43" s="177">
        <f t="shared" si="21"/>
        <v>3.03555628949846</v>
      </c>
      <c r="L43" s="177">
        <f t="shared" si="22"/>
        <v>2.896292400951674</v>
      </c>
      <c r="M43" s="453">
        <f t="shared" si="14"/>
        <v>168.58150842753807</v>
      </c>
      <c r="N43" s="202">
        <f t="shared" si="23"/>
        <v>350</v>
      </c>
      <c r="O43" s="222">
        <f t="shared" si="24"/>
        <v>0.40688445149970764</v>
      </c>
      <c r="P43" s="178">
        <f t="shared" si="25"/>
        <v>1.3950324051418546</v>
      </c>
      <c r="Q43" s="178">
        <f t="shared" si="26"/>
        <v>0.19866594824666151</v>
      </c>
      <c r="R43" s="178">
        <f t="shared" si="27"/>
        <v>0.99428571428571422</v>
      </c>
    </row>
    <row r="44" spans="3:18" x14ac:dyDescent="0.2">
      <c r="C44" s="175">
        <v>38</v>
      </c>
      <c r="D44" s="5">
        <f t="shared" si="28"/>
        <v>23.423999999999999</v>
      </c>
      <c r="E44" s="453">
        <f t="shared" si="15"/>
        <v>24.5</v>
      </c>
      <c r="F44" s="222">
        <f t="shared" si="16"/>
        <v>0.51122610800434021</v>
      </c>
      <c r="G44" s="177">
        <f t="shared" si="17"/>
        <v>8.2477539437442591</v>
      </c>
      <c r="H44" s="222">
        <f t="shared" si="18"/>
        <v>0.68731282864535492</v>
      </c>
      <c r="I44" s="453">
        <f t="shared" si="19"/>
        <v>47.923999999999999</v>
      </c>
      <c r="J44" s="177">
        <f t="shared" si="20"/>
        <v>0.84386610554489294</v>
      </c>
      <c r="K44" s="177">
        <f t="shared" si="21"/>
        <v>3.0261591899663172</v>
      </c>
      <c r="L44" s="177">
        <f t="shared" si="22"/>
        <v>2.8932552190110616</v>
      </c>
      <c r="M44" s="453">
        <f t="shared" si="14"/>
        <v>168.93562959258281</v>
      </c>
      <c r="N44" s="202">
        <f t="shared" si="23"/>
        <v>350</v>
      </c>
      <c r="O44" s="222">
        <f t="shared" si="24"/>
        <v>0.4073115766630499</v>
      </c>
      <c r="P44" s="178">
        <f t="shared" si="25"/>
        <v>1.3964968342733139</v>
      </c>
      <c r="Q44" s="178">
        <f t="shared" si="26"/>
        <v>0.1990832645804875</v>
      </c>
      <c r="R44" s="178">
        <f t="shared" si="27"/>
        <v>0.99428571428571422</v>
      </c>
    </row>
    <row r="45" spans="3:18" x14ac:dyDescent="0.2">
      <c r="C45" s="175">
        <v>39</v>
      </c>
      <c r="D45" s="5">
        <f t="shared" si="28"/>
        <v>23.472000000000001</v>
      </c>
      <c r="E45" s="453">
        <f t="shared" si="15"/>
        <v>24.5</v>
      </c>
      <c r="F45" s="222">
        <f t="shared" si="16"/>
        <v>0.51071458350704579</v>
      </c>
      <c r="G45" s="177">
        <f t="shared" si="17"/>
        <v>8.256385599933294</v>
      </c>
      <c r="H45" s="222">
        <f t="shared" si="18"/>
        <v>0.68803213332777446</v>
      </c>
      <c r="I45" s="453">
        <f t="shared" si="19"/>
        <v>47.972000000000001</v>
      </c>
      <c r="J45" s="177">
        <f t="shared" si="20"/>
        <v>0.84298388389905532</v>
      </c>
      <c r="K45" s="177">
        <f t="shared" si="21"/>
        <v>3.016813490436292</v>
      </c>
      <c r="L45" s="177">
        <f t="shared" si="22"/>
        <v>2.8902304590824754</v>
      </c>
      <c r="M45" s="453">
        <f t="shared" si="14"/>
        <v>169.28941252950514</v>
      </c>
      <c r="N45" s="202">
        <f t="shared" si="23"/>
        <v>350</v>
      </c>
      <c r="O45" s="222">
        <f t="shared" si="24"/>
        <v>0.40773784707746191</v>
      </c>
      <c r="P45" s="178">
        <f t="shared" si="25"/>
        <v>1.3979583328370122</v>
      </c>
      <c r="Q45" s="178">
        <f t="shared" si="26"/>
        <v>0.1995001823272364</v>
      </c>
      <c r="R45" s="178">
        <f t="shared" si="27"/>
        <v>0.99428571428571422</v>
      </c>
    </row>
    <row r="46" spans="3:18" x14ac:dyDescent="0.2">
      <c r="C46" s="175">
        <v>40</v>
      </c>
      <c r="D46" s="5">
        <f t="shared" si="28"/>
        <v>23.52</v>
      </c>
      <c r="E46" s="453">
        <f t="shared" si="15"/>
        <v>24.5</v>
      </c>
      <c r="F46" s="222">
        <f t="shared" si="16"/>
        <v>0.51020408163265307</v>
      </c>
      <c r="G46" s="177">
        <f t="shared" si="17"/>
        <v>8.2649999999999988</v>
      </c>
      <c r="H46" s="222">
        <f t="shared" si="18"/>
        <v>0.68874999999999986</v>
      </c>
      <c r="I46" s="453">
        <f t="shared" si="19"/>
        <v>48.019999999999996</v>
      </c>
      <c r="J46" s="177">
        <f t="shared" si="20"/>
        <v>0.84210526315789491</v>
      </c>
      <c r="K46" s="177">
        <f t="shared" si="21"/>
        <v>3.0075187969924819</v>
      </c>
      <c r="L46" s="177">
        <f t="shared" si="22"/>
        <v>2.8872180451127827</v>
      </c>
      <c r="M46" s="453">
        <f t="shared" si="14"/>
        <v>169.64285714285708</v>
      </c>
      <c r="N46" s="202">
        <f t="shared" si="23"/>
        <v>350</v>
      </c>
      <c r="O46" s="222">
        <f t="shared" si="24"/>
        <v>0.40816326530612251</v>
      </c>
      <c r="P46" s="178">
        <f t="shared" si="25"/>
        <v>1.3994169096209916</v>
      </c>
      <c r="Q46" s="178">
        <f t="shared" si="26"/>
        <v>0.19991670137442741</v>
      </c>
      <c r="R46" s="178">
        <f t="shared" si="27"/>
        <v>0.99428571428571422</v>
      </c>
    </row>
    <row r="47" spans="3:18" x14ac:dyDescent="0.2">
      <c r="C47" s="175">
        <v>41</v>
      </c>
      <c r="D47" s="5">
        <f t="shared" si="28"/>
        <v>23.568000000000001</v>
      </c>
      <c r="E47" s="453">
        <f t="shared" si="15"/>
        <v>24.5</v>
      </c>
      <c r="F47" s="222">
        <f t="shared" si="16"/>
        <v>0.50969459931763339</v>
      </c>
      <c r="G47" s="177">
        <f t="shared" si="17"/>
        <v>8.2735971956395105</v>
      </c>
      <c r="H47" s="222">
        <f t="shared" si="18"/>
        <v>0.68946643296995924</v>
      </c>
      <c r="I47" s="453">
        <f t="shared" si="19"/>
        <v>48.067999999999998</v>
      </c>
      <c r="J47" s="177">
        <f t="shared" si="20"/>
        <v>0.84123022131995695</v>
      </c>
      <c r="K47" s="177">
        <f t="shared" si="21"/>
        <v>2.9982747195721475</v>
      </c>
      <c r="L47" s="177">
        <f t="shared" si="22"/>
        <v>2.8842179016684235</v>
      </c>
      <c r="M47" s="453">
        <f t="shared" si="14"/>
        <v>169.99596334200041</v>
      </c>
      <c r="N47" s="202">
        <f t="shared" si="23"/>
        <v>350</v>
      </c>
      <c r="O47" s="222">
        <f t="shared" si="24"/>
        <v>0.40858783390197223</v>
      </c>
      <c r="P47" s="178">
        <f t="shared" si="25"/>
        <v>1.4008725733781904</v>
      </c>
      <c r="Q47" s="178">
        <f t="shared" si="26"/>
        <v>0.20033282161524676</v>
      </c>
      <c r="R47" s="178">
        <f t="shared" si="27"/>
        <v>0.99428571428571422</v>
      </c>
    </row>
    <row r="48" spans="3:18" x14ac:dyDescent="0.2">
      <c r="C48" s="175">
        <v>42</v>
      </c>
      <c r="D48" s="5">
        <f t="shared" si="28"/>
        <v>23.616</v>
      </c>
      <c r="E48" s="453">
        <f t="shared" si="15"/>
        <v>24.5</v>
      </c>
      <c r="F48" s="222">
        <f t="shared" si="16"/>
        <v>0.50918613351068254</v>
      </c>
      <c r="G48" s="177">
        <f t="shared" si="17"/>
        <v>8.282177238340676</v>
      </c>
      <c r="H48" s="222">
        <f t="shared" si="18"/>
        <v>0.6901814365283897</v>
      </c>
      <c r="I48" s="453">
        <f t="shared" si="19"/>
        <v>48.116</v>
      </c>
      <c r="J48" s="177">
        <f t="shared" si="20"/>
        <v>0.84035873656266125</v>
      </c>
      <c r="K48" s="177">
        <f t="shared" si="21"/>
        <v>2.9890808719200344</v>
      </c>
      <c r="L48" s="177">
        <f t="shared" si="22"/>
        <v>2.881229953929124</v>
      </c>
      <c r="M48" s="453">
        <f t="shared" si="14"/>
        <v>170.34873104105984</v>
      </c>
      <c r="N48" s="202">
        <f t="shared" si="23"/>
        <v>350</v>
      </c>
      <c r="O48" s="222">
        <f t="shared" si="24"/>
        <v>0.40901155540776457</v>
      </c>
      <c r="P48" s="178">
        <f t="shared" si="25"/>
        <v>1.4023253328266212</v>
      </c>
      <c r="Q48" s="178">
        <f t="shared" si="26"/>
        <v>0.20074854294849462</v>
      </c>
      <c r="R48" s="178">
        <f t="shared" si="27"/>
        <v>0.99428571428571422</v>
      </c>
    </row>
    <row r="49" spans="3:18" x14ac:dyDescent="0.2">
      <c r="C49" s="175">
        <v>43</v>
      </c>
      <c r="D49" s="5">
        <f t="shared" si="28"/>
        <v>23.664000000000001</v>
      </c>
      <c r="E49" s="453">
        <f t="shared" si="15"/>
        <v>24.5</v>
      </c>
      <c r="F49" s="222">
        <f t="shared" si="16"/>
        <v>0.50867868117266002</v>
      </c>
      <c r="G49" s="177">
        <f t="shared" si="17"/>
        <v>8.2907401793870914</v>
      </c>
      <c r="H49" s="222">
        <f t="shared" si="18"/>
        <v>0.69089501494892425</v>
      </c>
      <c r="I49" s="453">
        <f t="shared" si="19"/>
        <v>48.164000000000001</v>
      </c>
      <c r="J49" s="177">
        <f t="shared" si="20"/>
        <v>0.8394907872404862</v>
      </c>
      <c r="K49" s="177">
        <f t="shared" si="21"/>
        <v>2.9799368715433077</v>
      </c>
      <c r="L49" s="177">
        <f t="shared" si="22"/>
        <v>2.8782541276816671</v>
      </c>
      <c r="M49" s="453">
        <f t="shared" si="14"/>
        <v>170.701160158878</v>
      </c>
      <c r="N49" s="202">
        <f t="shared" si="23"/>
        <v>350</v>
      </c>
      <c r="O49" s="222">
        <f t="shared" si="24"/>
        <v>0.40943443235611665</v>
      </c>
      <c r="P49" s="178">
        <f t="shared" si="25"/>
        <v>1.4037751966495429</v>
      </c>
      <c r="Q49" s="178">
        <f t="shared" si="26"/>
        <v>0.20116386527853056</v>
      </c>
      <c r="R49" s="178">
        <f t="shared" si="27"/>
        <v>0.99428571428571422</v>
      </c>
    </row>
    <row r="50" spans="3:18" x14ac:dyDescent="0.2">
      <c r="C50" s="175">
        <v>44</v>
      </c>
      <c r="D50" s="5">
        <f t="shared" si="28"/>
        <v>23.712</v>
      </c>
      <c r="E50" s="453">
        <f t="shared" si="15"/>
        <v>24.5</v>
      </c>
      <c r="F50" s="222">
        <f t="shared" si="16"/>
        <v>0.50817223927652866</v>
      </c>
      <c r="G50" s="177">
        <f t="shared" si="17"/>
        <v>8.299286069858125</v>
      </c>
      <c r="H50" s="222">
        <f t="shared" si="18"/>
        <v>0.69160717248817705</v>
      </c>
      <c r="I50" s="453">
        <f t="shared" si="19"/>
        <v>48.212000000000003</v>
      </c>
      <c r="J50" s="177">
        <f t="shared" si="20"/>
        <v>0.83862635188317836</v>
      </c>
      <c r="K50" s="177">
        <f t="shared" si="21"/>
        <v>2.9708423396671297</v>
      </c>
      <c r="L50" s="177">
        <f t="shared" si="22"/>
        <v>2.8752903493137545</v>
      </c>
      <c r="M50" s="453">
        <f t="shared" si="14"/>
        <v>171.05325061896997</v>
      </c>
      <c r="N50" s="202">
        <f t="shared" si="23"/>
        <v>350</v>
      </c>
      <c r="O50" s="222">
        <f t="shared" si="24"/>
        <v>0.40985646726955943</v>
      </c>
      <c r="P50" s="178">
        <f t="shared" si="25"/>
        <v>1.4052221734956325</v>
      </c>
      <c r="Q50" s="178">
        <f t="shared" si="26"/>
        <v>0.20157878851522015</v>
      </c>
      <c r="R50" s="178">
        <f t="shared" si="27"/>
        <v>0.99428571428571422</v>
      </c>
    </row>
    <row r="51" spans="3:18" x14ac:dyDescent="0.2">
      <c r="C51" s="175">
        <v>45</v>
      </c>
      <c r="D51" s="5">
        <f t="shared" si="28"/>
        <v>23.76</v>
      </c>
      <c r="E51" s="453">
        <f t="shared" si="15"/>
        <v>24.5</v>
      </c>
      <c r="F51" s="222">
        <f t="shared" si="16"/>
        <v>0.50766680480729376</v>
      </c>
      <c r="G51" s="177">
        <f t="shared" si="17"/>
        <v>8.3078149606299192</v>
      </c>
      <c r="H51" s="222">
        <f t="shared" si="18"/>
        <v>0.6923179133858266</v>
      </c>
      <c r="I51" s="453">
        <f t="shared" si="19"/>
        <v>48.260000000000005</v>
      </c>
      <c r="J51" s="177">
        <f t="shared" si="20"/>
        <v>0.8377654091939809</v>
      </c>
      <c r="K51" s="177">
        <f t="shared" si="21"/>
        <v>2.9617969011908412</v>
      </c>
      <c r="L51" s="177">
        <f t="shared" si="22"/>
        <v>2.8723385458079345</v>
      </c>
      <c r="M51" s="453">
        <f t="shared" si="14"/>
        <v>171.40500234947834</v>
      </c>
      <c r="N51" s="202">
        <f t="shared" si="23"/>
        <v>350</v>
      </c>
      <c r="O51" s="222">
        <f t="shared" si="24"/>
        <v>0.41027766266058852</v>
      </c>
      <c r="P51" s="178">
        <f t="shared" si="25"/>
        <v>1.4066662719791605</v>
      </c>
      <c r="Q51" s="178">
        <f t="shared" si="26"/>
        <v>0.20199331257388278</v>
      </c>
      <c r="R51" s="178">
        <f t="shared" si="27"/>
        <v>0.99428571428571422</v>
      </c>
    </row>
    <row r="52" spans="3:18" x14ac:dyDescent="0.2">
      <c r="C52" s="175">
        <v>46</v>
      </c>
      <c r="D52" s="5">
        <f t="shared" si="28"/>
        <v>23.808</v>
      </c>
      <c r="E52" s="453">
        <f t="shared" si="15"/>
        <v>24.5</v>
      </c>
      <c r="F52" s="222">
        <f t="shared" si="16"/>
        <v>0.50716237476194415</v>
      </c>
      <c r="G52" s="177">
        <f t="shared" si="17"/>
        <v>8.3163269023764173</v>
      </c>
      <c r="H52" s="222">
        <f t="shared" si="18"/>
        <v>0.69302724186470144</v>
      </c>
      <c r="I52" s="453">
        <f t="shared" si="19"/>
        <v>48.308</v>
      </c>
      <c r="J52" s="177">
        <f t="shared" si="20"/>
        <v>0.83690793804788488</v>
      </c>
      <c r="K52" s="177">
        <f t="shared" si="21"/>
        <v>2.9528001846447549</v>
      </c>
      <c r="L52" s="177">
        <f t="shared" si="22"/>
        <v>2.8693986447356052</v>
      </c>
      <c r="M52" s="453">
        <f t="shared" si="14"/>
        <v>171.75641528312889</v>
      </c>
      <c r="N52" s="202">
        <f t="shared" si="23"/>
        <v>350</v>
      </c>
      <c r="O52" s="222">
        <f t="shared" si="24"/>
        <v>0.41069802103171321</v>
      </c>
      <c r="P52" s="178">
        <f t="shared" si="25"/>
        <v>1.4081075006801593</v>
      </c>
      <c r="Q52" s="178">
        <f t="shared" si="26"/>
        <v>0.20240743737523861</v>
      </c>
      <c r="R52" s="178">
        <f t="shared" si="27"/>
        <v>0.99428571428571422</v>
      </c>
    </row>
    <row r="53" spans="3:18" x14ac:dyDescent="0.2">
      <c r="C53" s="175">
        <v>47</v>
      </c>
      <c r="D53" s="5">
        <f t="shared" si="28"/>
        <v>23.856000000000002</v>
      </c>
      <c r="E53" s="453">
        <f t="shared" si="15"/>
        <v>24.5</v>
      </c>
      <c r="F53" s="222">
        <f t="shared" si="16"/>
        <v>0.506658946149392</v>
      </c>
      <c r="G53" s="177">
        <f t="shared" si="17"/>
        <v>8.3248219455703545</v>
      </c>
      <c r="H53" s="222">
        <f t="shared" si="18"/>
        <v>0.69373516213086284</v>
      </c>
      <c r="I53" s="453">
        <f t="shared" si="19"/>
        <v>48.356000000000002</v>
      </c>
      <c r="J53" s="177">
        <f t="shared" si="20"/>
        <v>0.83605391748990188</v>
      </c>
      <c r="K53" s="177">
        <f t="shared" si="21"/>
        <v>2.9438518221475412</v>
      </c>
      <c r="L53" s="177">
        <f t="shared" si="22"/>
        <v>2.8664705742510916</v>
      </c>
      <c r="M53" s="453">
        <f t="shared" si="14"/>
        <v>172.10748935718649</v>
      </c>
      <c r="N53" s="202">
        <f t="shared" si="23"/>
        <v>350</v>
      </c>
      <c r="O53" s="222">
        <f t="shared" si="24"/>
        <v>0.41111754487550672</v>
      </c>
      <c r="P53" s="178">
        <f t="shared" si="25"/>
        <v>1.4095458681445945</v>
      </c>
      <c r="Q53" s="178">
        <f t="shared" si="26"/>
        <v>0.20282116284535712</v>
      </c>
      <c r="R53" s="178">
        <f t="shared" si="27"/>
        <v>0.99428571428571422</v>
      </c>
    </row>
    <row r="54" spans="3:18" x14ac:dyDescent="0.2">
      <c r="C54" s="175">
        <v>48</v>
      </c>
      <c r="D54" s="5">
        <f t="shared" si="28"/>
        <v>23.904</v>
      </c>
      <c r="E54" s="453">
        <f t="shared" si="15"/>
        <v>24.5</v>
      </c>
      <c r="F54" s="222">
        <f t="shared" si="16"/>
        <v>0.506156515990414</v>
      </c>
      <c r="G54" s="177">
        <f t="shared" si="17"/>
        <v>8.3333001404842566</v>
      </c>
      <c r="H54" s="222">
        <f t="shared" si="18"/>
        <v>0.69444167837368809</v>
      </c>
      <c r="I54" s="453">
        <f t="shared" si="19"/>
        <v>48.403999999999996</v>
      </c>
      <c r="J54" s="177">
        <f t="shared" si="20"/>
        <v>0.83520332673335673</v>
      </c>
      <c r="K54" s="177">
        <f t="shared" si="21"/>
        <v>2.9349514493642053</v>
      </c>
      <c r="L54" s="177">
        <f t="shared" si="22"/>
        <v>2.8635542630857946</v>
      </c>
      <c r="M54" s="453">
        <f t="shared" si="14"/>
        <v>172.4582245134113</v>
      </c>
      <c r="N54" s="202">
        <f t="shared" si="23"/>
        <v>350</v>
      </c>
      <c r="O54" s="222">
        <f t="shared" si="24"/>
        <v>0.411536236674655</v>
      </c>
      <c r="P54" s="178">
        <f t="shared" si="25"/>
        <v>1.4109813828845312</v>
      </c>
      <c r="Q54" s="178">
        <f t="shared" si="26"/>
        <v>0.20323448891560517</v>
      </c>
      <c r="R54" s="178">
        <f t="shared" si="27"/>
        <v>0.99428571428571422</v>
      </c>
    </row>
    <row r="55" spans="3:18" x14ac:dyDescent="0.2">
      <c r="C55" s="175">
        <v>49</v>
      </c>
      <c r="D55" s="5">
        <f t="shared" si="28"/>
        <v>23.951999999999998</v>
      </c>
      <c r="E55" s="453">
        <f t="shared" si="15"/>
        <v>24.5</v>
      </c>
      <c r="F55" s="222">
        <f t="shared" si="16"/>
        <v>0.50565508131759274</v>
      </c>
      <c r="G55" s="177">
        <f t="shared" si="17"/>
        <v>8.3417615371914469</v>
      </c>
      <c r="H55" s="222">
        <f t="shared" si="18"/>
        <v>0.69514679476595387</v>
      </c>
      <c r="I55" s="453">
        <f t="shared" si="19"/>
        <v>48.451999999999998</v>
      </c>
      <c r="J55" s="177">
        <f t="shared" si="20"/>
        <v>0.83435614515820056</v>
      </c>
      <c r="K55" s="177">
        <f t="shared" si="21"/>
        <v>2.9260987054646312</v>
      </c>
      <c r="L55" s="177">
        <f t="shared" si="22"/>
        <v>2.8606496405424018</v>
      </c>
      <c r="M55" s="453">
        <f t="shared" si="14"/>
        <v>172.80862069801586</v>
      </c>
      <c r="N55" s="202">
        <f t="shared" si="23"/>
        <v>350</v>
      </c>
      <c r="O55" s="222">
        <f t="shared" si="24"/>
        <v>0.41195409890200613</v>
      </c>
      <c r="P55" s="178">
        <f t="shared" si="25"/>
        <v>1.4124140533783065</v>
      </c>
      <c r="Q55" s="178">
        <f t="shared" si="26"/>
        <v>0.20364741552259655</v>
      </c>
      <c r="R55" s="178">
        <f t="shared" si="27"/>
        <v>0.99428571428571422</v>
      </c>
    </row>
    <row r="56" spans="3:18" x14ac:dyDescent="0.2">
      <c r="C56" s="175">
        <v>50</v>
      </c>
      <c r="D56" s="5">
        <f t="shared" si="28"/>
        <v>24</v>
      </c>
      <c r="E56" s="453">
        <f t="shared" si="15"/>
        <v>24.5</v>
      </c>
      <c r="F56" s="222">
        <f t="shared" si="16"/>
        <v>0.50515463917525771</v>
      </c>
      <c r="G56" s="177">
        <f t="shared" si="17"/>
        <v>8.3502061855670089</v>
      </c>
      <c r="H56" s="222">
        <f t="shared" si="18"/>
        <v>0.69585051546391741</v>
      </c>
      <c r="I56" s="453">
        <f t="shared" si="19"/>
        <v>48.5</v>
      </c>
      <c r="J56" s="177">
        <f t="shared" si="20"/>
        <v>0.83351235230934506</v>
      </c>
      <c r="K56" s="177">
        <f t="shared" si="21"/>
        <v>2.9172932330827077</v>
      </c>
      <c r="L56" s="177">
        <f t="shared" si="22"/>
        <v>2.8577566364891829</v>
      </c>
      <c r="M56" s="453">
        <f t="shared" si="14"/>
        <v>173.15867786162178</v>
      </c>
      <c r="N56" s="202">
        <f t="shared" si="23"/>
        <v>350</v>
      </c>
      <c r="O56" s="222">
        <f t="shared" si="24"/>
        <v>0.41237113402061859</v>
      </c>
      <c r="P56" s="178">
        <f t="shared" si="25"/>
        <v>1.4138438880706923</v>
      </c>
      <c r="Q56" s="178">
        <f t="shared" si="26"/>
        <v>0.20405994260814117</v>
      </c>
      <c r="R56" s="178">
        <f t="shared" si="27"/>
        <v>0.99428571428571422</v>
      </c>
    </row>
    <row r="57" spans="3:18" x14ac:dyDescent="0.2">
      <c r="C57" s="175">
        <v>51</v>
      </c>
      <c r="D57" s="5">
        <f t="shared" si="28"/>
        <v>24.048000000000002</v>
      </c>
      <c r="E57" s="453">
        <f t="shared" si="15"/>
        <v>24.5</v>
      </c>
      <c r="F57" s="222">
        <f t="shared" si="16"/>
        <v>0.50465518661942821</v>
      </c>
      <c r="G57" s="177">
        <f t="shared" si="17"/>
        <v>8.3586341352887867</v>
      </c>
      <c r="H57" s="222">
        <f t="shared" si="18"/>
        <v>0.69655284460739886</v>
      </c>
      <c r="I57" s="453">
        <f t="shared" si="19"/>
        <v>48.548000000000002</v>
      </c>
      <c r="J57" s="177">
        <f t="shared" si="20"/>
        <v>0.83267192789501554</v>
      </c>
      <c r="K57" s="177">
        <f t="shared" si="21"/>
        <v>2.9085346782760024</v>
      </c>
      <c r="L57" s="177">
        <f t="shared" si="22"/>
        <v>2.8548751813543389</v>
      </c>
      <c r="M57" s="453">
        <f t="shared" si="14"/>
        <v>173.50839595921761</v>
      </c>
      <c r="N57" s="202">
        <f t="shared" si="23"/>
        <v>350</v>
      </c>
      <c r="O57" s="222">
        <f t="shared" si="24"/>
        <v>0.41278734448380988</v>
      </c>
      <c r="P57" s="178">
        <f t="shared" si="25"/>
        <v>1.4152708953730624</v>
      </c>
      <c r="Q57" s="178">
        <f t="shared" si="26"/>
        <v>0.20447207011919463</v>
      </c>
      <c r="R57" s="178">
        <f t="shared" si="27"/>
        <v>0.99428571428571422</v>
      </c>
    </row>
    <row r="58" spans="3:18" x14ac:dyDescent="0.2">
      <c r="C58" s="175">
        <v>52</v>
      </c>
      <c r="D58" s="5">
        <f t="shared" si="28"/>
        <v>24.096</v>
      </c>
      <c r="E58" s="453">
        <f t="shared" si="15"/>
        <v>24.5</v>
      </c>
      <c r="F58" s="222">
        <f t="shared" si="16"/>
        <v>0.50415672071775453</v>
      </c>
      <c r="G58" s="177">
        <f t="shared" si="17"/>
        <v>8.3670454358383406</v>
      </c>
      <c r="H58" s="222">
        <f t="shared" si="18"/>
        <v>0.69725378631986168</v>
      </c>
      <c r="I58" s="453">
        <f t="shared" si="19"/>
        <v>48.596000000000004</v>
      </c>
      <c r="J58" s="177">
        <f t="shared" si="20"/>
        <v>0.83183485178512606</v>
      </c>
      <c r="K58" s="177">
        <f t="shared" si="21"/>
        <v>2.8998226904859972</v>
      </c>
      <c r="L58" s="177">
        <f t="shared" si="22"/>
        <v>2.852005206120432</v>
      </c>
      <c r="M58" s="453">
        <f t="shared" si="14"/>
        <v>173.8577749501161</v>
      </c>
      <c r="N58" s="202">
        <f t="shared" si="23"/>
        <v>350</v>
      </c>
      <c r="O58" s="222">
        <f t="shared" si="24"/>
        <v>0.41320273273520458</v>
      </c>
      <c r="P58" s="178">
        <f t="shared" si="25"/>
        <v>1.4166950836635583</v>
      </c>
      <c r="Q58" s="178">
        <f t="shared" si="26"/>
        <v>0.20488379800780906</v>
      </c>
      <c r="R58" s="178">
        <f t="shared" si="27"/>
        <v>0.99428571428571422</v>
      </c>
    </row>
    <row r="59" spans="3:18" x14ac:dyDescent="0.2">
      <c r="C59" s="175">
        <v>53</v>
      </c>
      <c r="D59" s="5">
        <f t="shared" si="28"/>
        <v>24.143999999999998</v>
      </c>
      <c r="E59" s="453">
        <f t="shared" si="15"/>
        <v>24.5</v>
      </c>
      <c r="F59" s="222">
        <f t="shared" si="16"/>
        <v>0.50365923854946137</v>
      </c>
      <c r="G59" s="177">
        <f t="shared" si="17"/>
        <v>8.3754401365019309</v>
      </c>
      <c r="H59" s="222">
        <f t="shared" si="18"/>
        <v>0.69795334470849424</v>
      </c>
      <c r="I59" s="453">
        <f t="shared" si="19"/>
        <v>48.643999999999998</v>
      </c>
      <c r="J59" s="177">
        <f t="shared" si="20"/>
        <v>0.83100110400966931</v>
      </c>
      <c r="K59" s="177">
        <f t="shared" si="21"/>
        <v>2.8911569224988498</v>
      </c>
      <c r="L59" s="177">
        <f t="shared" si="22"/>
        <v>2.8491466423188658</v>
      </c>
      <c r="M59" s="453">
        <f t="shared" si="14"/>
        <v>174.2068147979131</v>
      </c>
      <c r="N59" s="202">
        <f t="shared" si="23"/>
        <v>350</v>
      </c>
      <c r="O59" s="222">
        <f t="shared" si="24"/>
        <v>0.41361730120878226</v>
      </c>
      <c r="P59" s="178">
        <f t="shared" si="25"/>
        <v>1.4181164612872534</v>
      </c>
      <c r="Q59" s="178">
        <f t="shared" si="26"/>
        <v>0.20529512623108384</v>
      </c>
      <c r="R59" s="178">
        <f t="shared" si="27"/>
        <v>0.99428571428571422</v>
      </c>
    </row>
    <row r="60" spans="3:18" x14ac:dyDescent="0.2">
      <c r="C60" s="175">
        <v>54</v>
      </c>
      <c r="D60" s="5">
        <f t="shared" si="28"/>
        <v>24.192</v>
      </c>
      <c r="E60" s="453">
        <f t="shared" si="15"/>
        <v>24.5</v>
      </c>
      <c r="F60" s="222">
        <f t="shared" si="16"/>
        <v>0.50316273720529037</v>
      </c>
      <c r="G60" s="177">
        <f t="shared" si="17"/>
        <v>8.3838182863714774</v>
      </c>
      <c r="H60" s="222">
        <f t="shared" si="18"/>
        <v>0.69865152386428975</v>
      </c>
      <c r="I60" s="453">
        <f t="shared" si="19"/>
        <v>48.692</v>
      </c>
      <c r="J60" s="177">
        <f t="shared" si="20"/>
        <v>0.83017066475713119</v>
      </c>
      <c r="K60" s="177">
        <f t="shared" si="21"/>
        <v>2.8825370304067053</v>
      </c>
      <c r="L60" s="177">
        <f t="shared" si="22"/>
        <v>2.8462994220244497</v>
      </c>
      <c r="M60" s="453">
        <f t="shared" si="14"/>
        <v>174.55551547044573</v>
      </c>
      <c r="N60" s="202">
        <f t="shared" si="23"/>
        <v>350</v>
      </c>
      <c r="O60" s="222">
        <f t="shared" si="24"/>
        <v>0.41403105232892473</v>
      </c>
      <c r="P60" s="178">
        <f t="shared" si="25"/>
        <v>1.4195350365563133</v>
      </c>
      <c r="Q60" s="178">
        <f t="shared" si="26"/>
        <v>0.20570605475111614</v>
      </c>
      <c r="R60" s="178">
        <f t="shared" si="27"/>
        <v>0.99428571428571422</v>
      </c>
    </row>
    <row r="61" spans="3:18" x14ac:dyDescent="0.2">
      <c r="C61" s="175">
        <v>55</v>
      </c>
      <c r="D61" s="5">
        <f t="shared" si="28"/>
        <v>24.240000000000002</v>
      </c>
      <c r="E61" s="453">
        <f t="shared" si="15"/>
        <v>24.5</v>
      </c>
      <c r="F61" s="222">
        <f t="shared" si="16"/>
        <v>0.50266721378744361</v>
      </c>
      <c r="G61" s="177">
        <f t="shared" si="17"/>
        <v>8.3921799343455081</v>
      </c>
      <c r="H61" s="222">
        <f t="shared" si="18"/>
        <v>0.69934832786212564</v>
      </c>
      <c r="I61" s="453">
        <f t="shared" si="19"/>
        <v>48.74</v>
      </c>
      <c r="J61" s="177">
        <f t="shared" si="20"/>
        <v>0.82934351437291953</v>
      </c>
      <c r="K61" s="177">
        <f t="shared" si="21"/>
        <v>2.8739626735695225</v>
      </c>
      <c r="L61" s="177">
        <f t="shared" si="22"/>
        <v>2.8434634778500092</v>
      </c>
      <c r="M61" s="453">
        <f t="shared" si="14"/>
        <v>174.90387693975171</v>
      </c>
      <c r="N61" s="202">
        <f t="shared" si="23"/>
        <v>350</v>
      </c>
      <c r="O61" s="222">
        <f t="shared" si="24"/>
        <v>0.41444398851046377</v>
      </c>
      <c r="P61" s="178">
        <f t="shared" si="25"/>
        <v>1.4209508177501615</v>
      </c>
      <c r="Q61" s="178">
        <f t="shared" si="26"/>
        <v>0.20611658353495371</v>
      </c>
      <c r="R61" s="178">
        <f t="shared" si="27"/>
        <v>0.99428571428571422</v>
      </c>
    </row>
    <row r="62" spans="3:18" x14ac:dyDescent="0.2">
      <c r="C62" s="175">
        <v>56</v>
      </c>
      <c r="D62" s="5">
        <f t="shared" si="28"/>
        <v>24.288</v>
      </c>
      <c r="E62" s="453">
        <f t="shared" si="15"/>
        <v>24.5</v>
      </c>
      <c r="F62" s="222">
        <f t="shared" si="16"/>
        <v>0.50217266540952699</v>
      </c>
      <c r="G62" s="177">
        <f t="shared" si="17"/>
        <v>8.4005251291301146</v>
      </c>
      <c r="H62" s="222">
        <f t="shared" si="18"/>
        <v>0.70004376076084285</v>
      </c>
      <c r="I62" s="453">
        <f t="shared" si="19"/>
        <v>48.787999999999997</v>
      </c>
      <c r="J62" s="177">
        <f t="shared" si="20"/>
        <v>0.82851963335781575</v>
      </c>
      <c r="K62" s="177">
        <f t="shared" si="21"/>
        <v>2.8654335145774259</v>
      </c>
      <c r="L62" s="177">
        <f t="shared" si="22"/>
        <v>2.8406387429410827</v>
      </c>
      <c r="M62" s="453">
        <f t="shared" si="14"/>
        <v>175.2518991820279</v>
      </c>
      <c r="N62" s="202">
        <f t="shared" si="23"/>
        <v>350</v>
      </c>
      <c r="O62" s="222">
        <f t="shared" si="24"/>
        <v>0.41485611215872759</v>
      </c>
      <c r="P62" s="178">
        <f t="shared" si="25"/>
        <v>1.4223638131156373</v>
      </c>
      <c r="Q62" s="178">
        <f t="shared" si="26"/>
        <v>0.20652671255454569</v>
      </c>
      <c r="R62" s="178">
        <f t="shared" si="27"/>
        <v>0.99428571428571422</v>
      </c>
    </row>
    <row r="63" spans="3:18" x14ac:dyDescent="0.2">
      <c r="C63" s="175">
        <v>57</v>
      </c>
      <c r="D63" s="5">
        <f t="shared" si="28"/>
        <v>24.335999999999999</v>
      </c>
      <c r="E63" s="453">
        <f t="shared" si="15"/>
        <v>24.5</v>
      </c>
      <c r="F63" s="222">
        <f t="shared" si="16"/>
        <v>0.5016790891964944</v>
      </c>
      <c r="G63" s="177">
        <f t="shared" si="17"/>
        <v>8.4088539192399026</v>
      </c>
      <c r="H63" s="222">
        <f t="shared" si="18"/>
        <v>0.70073782660332518</v>
      </c>
      <c r="I63" s="453">
        <f t="shared" si="19"/>
        <v>48.835999999999999</v>
      </c>
      <c r="J63" s="177">
        <f t="shared" si="20"/>
        <v>0.82769900236644045</v>
      </c>
      <c r="K63" s="177">
        <f t="shared" si="21"/>
        <v>2.8569492192135519</v>
      </c>
      <c r="L63" s="177">
        <f t="shared" si="22"/>
        <v>2.8378251509706529</v>
      </c>
      <c r="M63" s="453">
        <f t="shared" si="14"/>
        <v>175.59958217759095</v>
      </c>
      <c r="N63" s="202">
        <f t="shared" si="23"/>
        <v>350</v>
      </c>
      <c r="O63" s="222">
        <f t="shared" si="24"/>
        <v>0.41526742566958802</v>
      </c>
      <c r="P63" s="178">
        <f t="shared" si="25"/>
        <v>1.4237740308671587</v>
      </c>
      <c r="Q63" s="178">
        <f t="shared" si="26"/>
        <v>0.20693644178669612</v>
      </c>
      <c r="R63" s="178">
        <f t="shared" si="27"/>
        <v>0.99428571428571422</v>
      </c>
    </row>
    <row r="64" spans="3:18" x14ac:dyDescent="0.2">
      <c r="C64" s="175">
        <v>58</v>
      </c>
      <c r="D64" s="5">
        <f t="shared" si="28"/>
        <v>24.384</v>
      </c>
      <c r="E64" s="453">
        <f t="shared" si="15"/>
        <v>24.5</v>
      </c>
      <c r="F64" s="222">
        <f t="shared" si="16"/>
        <v>0.50118648228459206</v>
      </c>
      <c r="G64" s="177">
        <f t="shared" si="17"/>
        <v>8.4171663529989331</v>
      </c>
      <c r="H64" s="222">
        <f t="shared" si="18"/>
        <v>0.7014305294165778</v>
      </c>
      <c r="I64" s="453">
        <f t="shared" si="19"/>
        <v>48.884</v>
      </c>
      <c r="J64" s="177">
        <f t="shared" si="20"/>
        <v>0.82688160220573959</v>
      </c>
      <c r="K64" s="177">
        <f t="shared" si="21"/>
        <v>2.8485094564174096</v>
      </c>
      <c r="L64" s="177">
        <f t="shared" si="22"/>
        <v>2.8350226361339641</v>
      </c>
      <c r="M64" s="453">
        <f t="shared" si="14"/>
        <v>175.94692591083682</v>
      </c>
      <c r="N64" s="202">
        <f t="shared" si="23"/>
        <v>350</v>
      </c>
      <c r="O64" s="222">
        <f t="shared" si="24"/>
        <v>0.41567793142950665</v>
      </c>
      <c r="P64" s="178">
        <f t="shared" si="25"/>
        <v>1.4251814791868798</v>
      </c>
      <c r="Q64" s="178">
        <f t="shared" si="26"/>
        <v>0.20734577121301631</v>
      </c>
      <c r="R64" s="178">
        <f t="shared" si="27"/>
        <v>0.99428571428571422</v>
      </c>
    </row>
    <row r="65" spans="3:18" x14ac:dyDescent="0.2">
      <c r="C65" s="175">
        <v>59</v>
      </c>
      <c r="D65" s="5">
        <f t="shared" si="28"/>
        <v>24.431999999999999</v>
      </c>
      <c r="E65" s="453">
        <f t="shared" si="15"/>
        <v>24.5</v>
      </c>
      <c r="F65" s="222">
        <f t="shared" si="16"/>
        <v>0.50069484182130297</v>
      </c>
      <c r="G65" s="177">
        <f t="shared" si="17"/>
        <v>8.4254624785416485</v>
      </c>
      <c r="H65" s="222">
        <f t="shared" si="18"/>
        <v>0.70212187321180408</v>
      </c>
      <c r="I65" s="453">
        <f t="shared" si="19"/>
        <v>48.932000000000002</v>
      </c>
      <c r="J65" s="177">
        <f t="shared" si="20"/>
        <v>0.82606741383348947</v>
      </c>
      <c r="K65" s="177">
        <f t="shared" si="21"/>
        <v>2.8401138982487359</v>
      </c>
      <c r="L65" s="177">
        <f t="shared" si="22"/>
        <v>2.8322311331433925</v>
      </c>
      <c r="M65" s="453">
        <f t="shared" si="14"/>
        <v>176.29393037020111</v>
      </c>
      <c r="N65" s="202">
        <f t="shared" si="23"/>
        <v>350</v>
      </c>
      <c r="O65" s="222">
        <f t="shared" si="24"/>
        <v>0.41608763181558089</v>
      </c>
      <c r="P65" s="178">
        <f t="shared" si="25"/>
        <v>1.4265861662248485</v>
      </c>
      <c r="Q65" s="178">
        <f t="shared" si="26"/>
        <v>0.20775470081987804</v>
      </c>
      <c r="R65" s="178">
        <f t="shared" si="27"/>
        <v>0.99428571428571422</v>
      </c>
    </row>
    <row r="66" spans="3:18" x14ac:dyDescent="0.2">
      <c r="C66" s="175">
        <v>60</v>
      </c>
      <c r="D66" s="5">
        <f t="shared" si="28"/>
        <v>24.48</v>
      </c>
      <c r="E66" s="453">
        <f t="shared" si="15"/>
        <v>24.5</v>
      </c>
      <c r="F66" s="222">
        <f t="shared" si="16"/>
        <v>0.50020416496529196</v>
      </c>
      <c r="G66" s="177">
        <f t="shared" si="17"/>
        <v>8.4337423438138011</v>
      </c>
      <c r="H66" s="222">
        <f t="shared" si="18"/>
        <v>0.70281186198448342</v>
      </c>
      <c r="I66" s="453">
        <f t="shared" si="19"/>
        <v>48.980000000000004</v>
      </c>
      <c r="J66" s="177">
        <f t="shared" si="20"/>
        <v>0.82525641835681651</v>
      </c>
      <c r="K66" s="177">
        <f t="shared" si="21"/>
        <v>2.8317622198518211</v>
      </c>
      <c r="L66" s="177">
        <f t="shared" si="22"/>
        <v>2.8294505772233709</v>
      </c>
      <c r="M66" s="453">
        <f t="shared" si="14"/>
        <v>176.64059554811996</v>
      </c>
      <c r="N66" s="202">
        <f t="shared" si="23"/>
        <v>350</v>
      </c>
      <c r="O66" s="222">
        <f t="shared" si="24"/>
        <v>0.41649652919559005</v>
      </c>
      <c r="P66" s="178">
        <f t="shared" si="25"/>
        <v>1.4279881000991659</v>
      </c>
      <c r="Q66" s="178">
        <f t="shared" si="26"/>
        <v>0.20816323059836758</v>
      </c>
      <c r="R66" s="178">
        <f t="shared" si="27"/>
        <v>0.99428571428571422</v>
      </c>
    </row>
    <row r="67" spans="3:18" x14ac:dyDescent="0.2">
      <c r="C67" s="175">
        <v>61</v>
      </c>
      <c r="D67" s="5">
        <f t="shared" si="28"/>
        <v>24.527999999999999</v>
      </c>
      <c r="E67" s="453">
        <f t="shared" si="15"/>
        <v>24.5</v>
      </c>
      <c r="F67" s="222">
        <f t="shared" si="16"/>
        <v>0.49971444888635069</v>
      </c>
      <c r="G67" s="177">
        <f t="shared" si="17"/>
        <v>8.4420059965733856</v>
      </c>
      <c r="H67" s="222">
        <f t="shared" si="18"/>
        <v>0.70350049971444883</v>
      </c>
      <c r="I67" s="453">
        <f t="shared" si="19"/>
        <v>49.027999999999999</v>
      </c>
      <c r="J67" s="177">
        <f t="shared" si="20"/>
        <v>0.82444859703073747</v>
      </c>
      <c r="K67" s="177">
        <f t="shared" si="21"/>
        <v>2.8234540994203341</v>
      </c>
      <c r="L67" s="177">
        <f t="shared" si="22"/>
        <v>2.8266809041053853</v>
      </c>
      <c r="M67" s="453">
        <f t="shared" si="14"/>
        <v>176.98692144099104</v>
      </c>
      <c r="N67" s="202">
        <f t="shared" si="23"/>
        <v>350</v>
      </c>
      <c r="O67" s="222">
        <f t="shared" si="24"/>
        <v>0.41690462592804112</v>
      </c>
      <c r="P67" s="178">
        <f t="shared" si="25"/>
        <v>1.4293872888961408</v>
      </c>
      <c r="Q67" s="178">
        <f t="shared" si="26"/>
        <v>0.20857136054423986</v>
      </c>
      <c r="R67" s="178">
        <f t="shared" si="27"/>
        <v>0.99428571428571422</v>
      </c>
    </row>
    <row r="68" spans="3:18" x14ac:dyDescent="0.2">
      <c r="C68" s="175">
        <v>62</v>
      </c>
      <c r="D68" s="5">
        <f t="shared" si="28"/>
        <v>24.576000000000001</v>
      </c>
      <c r="E68" s="453">
        <f t="shared" si="15"/>
        <v>24.5</v>
      </c>
      <c r="F68" s="222">
        <f t="shared" si="16"/>
        <v>0.49922569076534357</v>
      </c>
      <c r="G68" s="177">
        <f t="shared" si="17"/>
        <v>8.4502534843915562</v>
      </c>
      <c r="H68" s="222">
        <f t="shared" si="18"/>
        <v>0.70418779036596302</v>
      </c>
      <c r="I68" s="453">
        <f t="shared" si="19"/>
        <v>49.076000000000001</v>
      </c>
      <c r="J68" s="177">
        <f t="shared" si="20"/>
        <v>0.8236439312567132</v>
      </c>
      <c r="K68" s="177">
        <f t="shared" si="21"/>
        <v>2.8151892181625939</v>
      </c>
      <c r="L68" s="177">
        <f t="shared" si="22"/>
        <v>2.8239220500230164</v>
      </c>
      <c r="M68" s="453">
        <f t="shared" si="14"/>
        <v>177.332908049135</v>
      </c>
      <c r="N68" s="202">
        <f t="shared" si="23"/>
        <v>350</v>
      </c>
      <c r="O68" s="222">
        <f t="shared" si="24"/>
        <v>0.41731192436221376</v>
      </c>
      <c r="P68" s="178">
        <f t="shared" si="25"/>
        <v>1.4307837406704471</v>
      </c>
      <c r="Q68" s="178">
        <f t="shared" si="26"/>
        <v>0.20897909065787282</v>
      </c>
      <c r="R68" s="178">
        <f t="shared" si="27"/>
        <v>0.99428571428571422</v>
      </c>
    </row>
    <row r="69" spans="3:18" x14ac:dyDescent="0.2">
      <c r="C69" s="175">
        <v>63</v>
      </c>
      <c r="D69" s="5">
        <f t="shared" si="28"/>
        <v>24.623999999999999</v>
      </c>
      <c r="E69" s="453">
        <f t="shared" si="15"/>
        <v>24.5</v>
      </c>
      <c r="F69" s="222">
        <f t="shared" si="16"/>
        <v>0.49873788779415362</v>
      </c>
      <c r="G69" s="177">
        <f t="shared" si="17"/>
        <v>8.4584848546535287</v>
      </c>
      <c r="H69" s="222">
        <f t="shared" si="18"/>
        <v>0.70487373788779406</v>
      </c>
      <c r="I69" s="453">
        <f t="shared" si="19"/>
        <v>49.123999999999995</v>
      </c>
      <c r="J69" s="177">
        <f t="shared" si="20"/>
        <v>0.82284240258122343</v>
      </c>
      <c r="K69" s="177">
        <f t="shared" si="21"/>
        <v>2.806967260267331</v>
      </c>
      <c r="L69" s="177">
        <f t="shared" si="22"/>
        <v>2.8211739517070513</v>
      </c>
      <c r="M69" s="453">
        <f t="shared" si="14"/>
        <v>177.67855537675726</v>
      </c>
      <c r="N69" s="202">
        <f t="shared" si="23"/>
        <v>350</v>
      </c>
      <c r="O69" s="222">
        <f t="shared" si="24"/>
        <v>0.41771842683820537</v>
      </c>
      <c r="P69" s="178">
        <f t="shared" si="25"/>
        <v>1.4321774634452755</v>
      </c>
      <c r="Q69" s="178">
        <f t="shared" si="26"/>
        <v>0.20938642094422216</v>
      </c>
      <c r="R69" s="178">
        <f t="shared" si="27"/>
        <v>0.99428571428571422</v>
      </c>
    </row>
    <row r="70" spans="3:18" x14ac:dyDescent="0.2">
      <c r="C70" s="175">
        <v>64</v>
      </c>
      <c r="D70" s="5">
        <f t="shared" si="28"/>
        <v>24.672000000000001</v>
      </c>
      <c r="E70" s="453">
        <f t="shared" ref="E70:E106" si="29">(Vout+Vfwd1)*Nps</f>
        <v>24.5</v>
      </c>
      <c r="F70" s="222">
        <f t="shared" ref="F70:F106" si="30">(Vout+Vfwd1)*Nps/((Vout+Vfwd1)*Nps+D70)</f>
        <v>0.49825103717562846</v>
      </c>
      <c r="G70" s="177">
        <f t="shared" ref="G70:G101" si="31">F70*D70*Isw_max*0.5*Efficiency</f>
        <v>8.466700154559506</v>
      </c>
      <c r="H70" s="222">
        <f t="shared" ref="H70:H101" si="32">G70/Vout</f>
        <v>0.70555834621329216</v>
      </c>
      <c r="I70" s="453">
        <f t="shared" ref="I70:I106" si="33">(Vout+Vfwd1)*Nps+D70</f>
        <v>49.171999999999997</v>
      </c>
      <c r="J70" s="177">
        <f t="shared" ref="J70:J106" si="34">MIN(2*Vout*Iout/(Efficiency*D70*F70), 1.35)</f>
        <v>0.82204399269435413</v>
      </c>
      <c r="K70" s="177">
        <f t="shared" ref="K70:K101" si="35">L*J70/D70*1000000</f>
        <v>2.7987879128698823</v>
      </c>
      <c r="L70" s="177">
        <f t="shared" ref="L70:L106" si="36">L*J70/((Vout+Vfwd1)*Nps)*1000000</f>
        <v>2.8184365463806422</v>
      </c>
      <c r="M70" s="453">
        <f t="shared" si="14"/>
        <v>178.02386343191003</v>
      </c>
      <c r="N70" s="202">
        <f t="shared" ref="N70:N106" si="37">IF(1/((350000*L)*(1/D70+1/E70))&gt;Isw_min, 350, 0.001/((Isw_min*L)*(1/D70+1/E70)))</f>
        <v>350</v>
      </c>
      <c r="O70" s="222">
        <f t="shared" ref="O70:O101" si="38">1/((N70*1000*L)*(1/D70+1/E70))</f>
        <v>0.41812413568697632</v>
      </c>
      <c r="P70" s="178">
        <f t="shared" ref="P70:P101" si="39">L*O70/E70*1000000</f>
        <v>1.43356846521249</v>
      </c>
      <c r="Q70" s="178">
        <f t="shared" ref="Q70:Q101" si="40">0.5*P70*O70*Nps*N70/1000</f>
        <v>0.20979335141277716</v>
      </c>
      <c r="R70" s="178">
        <f t="shared" ref="R70:R106" si="41">L*Isw_min/E70*1000000</f>
        <v>0.99428571428571422</v>
      </c>
    </row>
    <row r="71" spans="3:18" x14ac:dyDescent="0.2">
      <c r="C71" s="175">
        <v>65</v>
      </c>
      <c r="D71" s="5">
        <f t="shared" ref="D71:D102" si="42">C71/100*(VIN_max-VIN_min)+VIN_min</f>
        <v>24.72</v>
      </c>
      <c r="E71" s="453">
        <f t="shared" si="29"/>
        <v>24.5</v>
      </c>
      <c r="F71" s="222">
        <f t="shared" si="30"/>
        <v>0.49776513612352702</v>
      </c>
      <c r="G71" s="177">
        <f t="shared" si="31"/>
        <v>8.4748994311255572</v>
      </c>
      <c r="H71" s="222">
        <f t="shared" si="32"/>
        <v>0.70624161926046314</v>
      </c>
      <c r="I71" s="453">
        <f t="shared" si="33"/>
        <v>49.22</v>
      </c>
      <c r="J71" s="177">
        <f t="shared" si="34"/>
        <v>0.82124868342840474</v>
      </c>
      <c r="K71" s="177">
        <f t="shared" si="35"/>
        <v>2.7906508660188512</v>
      </c>
      <c r="L71" s="177">
        <f t="shared" si="36"/>
        <v>2.8157097717545305</v>
      </c>
      <c r="M71" s="453">
        <f t="shared" ref="M71:M106" si="43">MIN(1/(K71+L71)*1000, 350)</f>
        <v>178.36883222645471</v>
      </c>
      <c r="N71" s="202">
        <f t="shared" si="37"/>
        <v>350</v>
      </c>
      <c r="O71" s="222">
        <f t="shared" si="38"/>
        <v>0.41852905323039408</v>
      </c>
      <c r="P71" s="178">
        <f t="shared" si="39"/>
        <v>1.4349567539327797</v>
      </c>
      <c r="Q71" s="178">
        <f t="shared" si="40"/>
        <v>0.21019988207751603</v>
      </c>
      <c r="R71" s="178">
        <f t="shared" si="41"/>
        <v>0.99428571428571422</v>
      </c>
    </row>
    <row r="72" spans="3:18" x14ac:dyDescent="0.2">
      <c r="C72" s="175">
        <v>66</v>
      </c>
      <c r="D72" s="5">
        <f t="shared" si="42"/>
        <v>24.768000000000001</v>
      </c>
      <c r="E72" s="453">
        <f t="shared" si="29"/>
        <v>24.5</v>
      </c>
      <c r="F72" s="222">
        <f t="shared" si="30"/>
        <v>0.49728018186246653</v>
      </c>
      <c r="G72" s="177">
        <f t="shared" si="31"/>
        <v>8.4830827311845418</v>
      </c>
      <c r="H72" s="222">
        <f t="shared" si="32"/>
        <v>0.70692356093204511</v>
      </c>
      <c r="I72" s="453">
        <f t="shared" si="33"/>
        <v>49.268000000000001</v>
      </c>
      <c r="J72" s="177">
        <f t="shared" si="34"/>
        <v>0.82045645675650936</v>
      </c>
      <c r="K72" s="177">
        <f t="shared" si="35"/>
        <v>2.7825558126432002</v>
      </c>
      <c r="L72" s="177">
        <f t="shared" si="36"/>
        <v>2.812993566022318</v>
      </c>
      <c r="M72" s="453">
        <f t="shared" si="43"/>
        <v>178.7134617760249</v>
      </c>
      <c r="N72" s="202">
        <f t="shared" si="37"/>
        <v>350</v>
      </c>
      <c r="O72" s="222">
        <f t="shared" si="38"/>
        <v>0.41893318178127792</v>
      </c>
      <c r="P72" s="178">
        <f t="shared" si="39"/>
        <v>1.43634233753581</v>
      </c>
      <c r="Q72" s="178">
        <f t="shared" si="40"/>
        <v>0.21060601295686229</v>
      </c>
      <c r="R72" s="178">
        <f t="shared" si="41"/>
        <v>0.99428571428571422</v>
      </c>
    </row>
    <row r="73" spans="3:18" x14ac:dyDescent="0.2">
      <c r="C73" s="175">
        <v>67</v>
      </c>
      <c r="D73" s="5">
        <f t="shared" si="42"/>
        <v>24.815999999999999</v>
      </c>
      <c r="E73" s="453">
        <f t="shared" si="29"/>
        <v>24.5</v>
      </c>
      <c r="F73" s="222">
        <f t="shared" si="30"/>
        <v>0.49679617162786921</v>
      </c>
      <c r="G73" s="177">
        <f t="shared" si="31"/>
        <v>8.4912501013869726</v>
      </c>
      <c r="H73" s="222">
        <f t="shared" si="32"/>
        <v>0.70760417511558105</v>
      </c>
      <c r="I73" s="453">
        <f t="shared" si="33"/>
        <v>49.316000000000003</v>
      </c>
      <c r="J73" s="177">
        <f t="shared" si="34"/>
        <v>0.81966729479127509</v>
      </c>
      <c r="K73" s="177">
        <f t="shared" si="35"/>
        <v>2.7745024485197902</v>
      </c>
      <c r="L73" s="177">
        <f t="shared" si="36"/>
        <v>2.8102878678558003</v>
      </c>
      <c r="M73" s="453">
        <f t="shared" si="43"/>
        <v>179.05775209998905</v>
      </c>
      <c r="N73" s="202">
        <f t="shared" si="37"/>
        <v>350</v>
      </c>
      <c r="O73" s="222">
        <f t="shared" si="38"/>
        <v>0.41933652364344237</v>
      </c>
      <c r="P73" s="178">
        <f t="shared" si="39"/>
        <v>1.4377252239203739</v>
      </c>
      <c r="Q73" s="178">
        <f t="shared" si="40"/>
        <v>0.21101174407364079</v>
      </c>
      <c r="R73" s="178">
        <f t="shared" si="41"/>
        <v>0.99428571428571422</v>
      </c>
    </row>
    <row r="74" spans="3:18" x14ac:dyDescent="0.2">
      <c r="C74" s="175">
        <v>68</v>
      </c>
      <c r="D74" s="5">
        <f t="shared" si="42"/>
        <v>24.864000000000001</v>
      </c>
      <c r="E74" s="453">
        <f t="shared" si="29"/>
        <v>24.5</v>
      </c>
      <c r="F74" s="222">
        <f t="shared" si="30"/>
        <v>0.49631310266591033</v>
      </c>
      <c r="G74" s="177">
        <f t="shared" si="31"/>
        <v>8.4994015882019287</v>
      </c>
      <c r="H74" s="222">
        <f t="shared" si="32"/>
        <v>0.7082834656834941</v>
      </c>
      <c r="I74" s="453">
        <f t="shared" si="33"/>
        <v>49.364000000000004</v>
      </c>
      <c r="J74" s="177">
        <f t="shared" si="34"/>
        <v>0.81888117978343555</v>
      </c>
      <c r="K74" s="177">
        <f t="shared" si="35"/>
        <v>2.7664904722413359</v>
      </c>
      <c r="L74" s="177">
        <f t="shared" si="36"/>
        <v>2.8075926164003504</v>
      </c>
      <c r="M74" s="453">
        <f t="shared" si="43"/>
        <v>179.40170322141427</v>
      </c>
      <c r="N74" s="202">
        <f t="shared" si="37"/>
        <v>350</v>
      </c>
      <c r="O74" s="222">
        <f t="shared" si="38"/>
        <v>0.41973908111174141</v>
      </c>
      <c r="P74" s="178">
        <f t="shared" si="39"/>
        <v>1.4391054209545417</v>
      </c>
      <c r="Q74" s="178">
        <f t="shared" si="40"/>
        <v>0.2114170754550348</v>
      </c>
      <c r="R74" s="178">
        <f t="shared" si="41"/>
        <v>0.99428571428571422</v>
      </c>
    </row>
    <row r="75" spans="3:18" x14ac:dyDescent="0.2">
      <c r="C75" s="175">
        <v>69</v>
      </c>
      <c r="D75" s="5">
        <f t="shared" si="42"/>
        <v>24.911999999999999</v>
      </c>
      <c r="E75" s="453">
        <f t="shared" si="29"/>
        <v>24.5</v>
      </c>
      <c r="F75" s="222">
        <f t="shared" si="30"/>
        <v>0.49583097223346556</v>
      </c>
      <c r="G75" s="177">
        <f t="shared" si="31"/>
        <v>8.5075372379179139</v>
      </c>
      <c r="H75" s="222">
        <f t="shared" si="32"/>
        <v>0.70896143649315946</v>
      </c>
      <c r="I75" s="453">
        <f t="shared" si="33"/>
        <v>49.411999999999999</v>
      </c>
      <c r="J75" s="177">
        <f t="shared" si="34"/>
        <v>0.81809809412052026</v>
      </c>
      <c r="K75" s="177">
        <f t="shared" si="35"/>
        <v>2.7585195851847986</v>
      </c>
      <c r="L75" s="177">
        <f t="shared" si="36"/>
        <v>2.8049077512703549</v>
      </c>
      <c r="M75" s="453">
        <f t="shared" si="43"/>
        <v>179.74531516702967</v>
      </c>
      <c r="N75" s="202">
        <f t="shared" si="37"/>
        <v>350</v>
      </c>
      <c r="O75" s="222">
        <f t="shared" si="38"/>
        <v>0.42014085647211202</v>
      </c>
      <c r="P75" s="178">
        <f t="shared" si="39"/>
        <v>1.4404829364758127</v>
      </c>
      <c r="Q75" s="178">
        <f t="shared" si="40"/>
        <v>0.21182200713254382</v>
      </c>
      <c r="R75" s="178">
        <f t="shared" si="41"/>
        <v>0.99428571428571422</v>
      </c>
    </row>
    <row r="76" spans="3:18" x14ac:dyDescent="0.2">
      <c r="C76" s="175">
        <v>70</v>
      </c>
      <c r="D76" s="5">
        <f t="shared" si="42"/>
        <v>24.96</v>
      </c>
      <c r="E76" s="453">
        <f t="shared" si="29"/>
        <v>24.5</v>
      </c>
      <c r="F76" s="222">
        <f t="shared" si="30"/>
        <v>0.49534977759805904</v>
      </c>
      <c r="G76" s="177">
        <f t="shared" si="31"/>
        <v>8.5156570966437517</v>
      </c>
      <c r="H76" s="222">
        <f t="shared" si="32"/>
        <v>0.70963809138697931</v>
      </c>
      <c r="I76" s="453">
        <f t="shared" si="33"/>
        <v>49.46</v>
      </c>
      <c r="J76" s="177">
        <f t="shared" si="34"/>
        <v>0.81731802032553924</v>
      </c>
      <c r="K76" s="177">
        <f t="shared" si="35"/>
        <v>2.7505894914801803</v>
      </c>
      <c r="L76" s="177">
        <f t="shared" si="36"/>
        <v>2.802233212544706</v>
      </c>
      <c r="M76" s="453">
        <f t="shared" si="43"/>
        <v>180.08858796719079</v>
      </c>
      <c r="N76" s="202">
        <f t="shared" si="37"/>
        <v>350</v>
      </c>
      <c r="O76" s="222">
        <f t="shared" si="38"/>
        <v>0.42054185200161759</v>
      </c>
      <c r="P76" s="178">
        <f t="shared" si="39"/>
        <v>1.4418577782912605</v>
      </c>
      <c r="Q76" s="178">
        <f t="shared" si="40"/>
        <v>0.21222653914194056</v>
      </c>
      <c r="R76" s="178">
        <f t="shared" si="41"/>
        <v>0.99428571428571422</v>
      </c>
    </row>
    <row r="77" spans="3:18" x14ac:dyDescent="0.2">
      <c r="C77" s="175">
        <v>71</v>
      </c>
      <c r="D77" s="5">
        <f t="shared" si="42"/>
        <v>25.007999999999999</v>
      </c>
      <c r="E77" s="453">
        <f t="shared" si="29"/>
        <v>24.5</v>
      </c>
      <c r="F77" s="222">
        <f t="shared" si="30"/>
        <v>0.4948695160378121</v>
      </c>
      <c r="G77" s="177">
        <f t="shared" si="31"/>
        <v>8.5237612103094449</v>
      </c>
      <c r="H77" s="222">
        <f t="shared" si="32"/>
        <v>0.71031343419245374</v>
      </c>
      <c r="I77" s="453">
        <f t="shared" si="33"/>
        <v>49.507999999999996</v>
      </c>
      <c r="J77" s="177">
        <f t="shared" si="34"/>
        <v>0.81654094105568298</v>
      </c>
      <c r="K77" s="177">
        <f t="shared" si="35"/>
        <v>2.7426998979797412</v>
      </c>
      <c r="L77" s="177">
        <f t="shared" si="36"/>
        <v>2.7995689407623416</v>
      </c>
      <c r="M77" s="453">
        <f t="shared" si="43"/>
        <v>180.43152165584371</v>
      </c>
      <c r="N77" s="202">
        <f t="shared" si="37"/>
        <v>350</v>
      </c>
      <c r="O77" s="222">
        <f t="shared" si="38"/>
        <v>0.42094206996849004</v>
      </c>
      <c r="P77" s="178">
        <f t="shared" si="39"/>
        <v>1.4432299541776803</v>
      </c>
      <c r="Q77" s="178">
        <f t="shared" si="40"/>
        <v>0.21263067152322862</v>
      </c>
      <c r="R77" s="178">
        <f t="shared" si="41"/>
        <v>0.99428571428571422</v>
      </c>
    </row>
    <row r="78" spans="3:18" x14ac:dyDescent="0.2">
      <c r="C78" s="175">
        <v>72</v>
      </c>
      <c r="D78" s="5">
        <f t="shared" si="42"/>
        <v>25.055999999999997</v>
      </c>
      <c r="E78" s="453">
        <f t="shared" si="29"/>
        <v>24.5</v>
      </c>
      <c r="F78" s="222">
        <f t="shared" si="30"/>
        <v>0.49439018484139158</v>
      </c>
      <c r="G78" s="177">
        <f t="shared" si="31"/>
        <v>8.5318496246670428</v>
      </c>
      <c r="H78" s="222">
        <f t="shared" si="32"/>
        <v>0.7109874687222536</v>
      </c>
      <c r="I78" s="453">
        <f t="shared" si="33"/>
        <v>49.555999999999997</v>
      </c>
      <c r="J78" s="177">
        <f t="shared" si="34"/>
        <v>0.81576683910103687</v>
      </c>
      <c r="K78" s="177">
        <f t="shared" si="35"/>
        <v>2.734850514227614</v>
      </c>
      <c r="L78" s="177">
        <f t="shared" si="36"/>
        <v>2.7969148769178407</v>
      </c>
      <c r="M78" s="453">
        <f t="shared" si="43"/>
        <v>180.7741162704898</v>
      </c>
      <c r="N78" s="202">
        <f t="shared" si="37"/>
        <v>350</v>
      </c>
      <c r="O78" s="222">
        <f t="shared" si="38"/>
        <v>0.42134151263217373</v>
      </c>
      <c r="P78" s="178">
        <f t="shared" si="39"/>
        <v>1.4445994718817383</v>
      </c>
      <c r="Q78" s="178">
        <f t="shared" si="40"/>
        <v>0.21303440432060183</v>
      </c>
      <c r="R78" s="178">
        <f t="shared" si="41"/>
        <v>0.99428571428571422</v>
      </c>
    </row>
    <row r="79" spans="3:18" x14ac:dyDescent="0.2">
      <c r="C79" s="175">
        <v>73</v>
      </c>
      <c r="D79" s="5">
        <f t="shared" si="42"/>
        <v>25.103999999999999</v>
      </c>
      <c r="E79" s="453">
        <f t="shared" si="29"/>
        <v>24.5</v>
      </c>
      <c r="F79" s="222">
        <f t="shared" si="30"/>
        <v>0.49391178130795904</v>
      </c>
      <c r="G79" s="177">
        <f t="shared" si="31"/>
        <v>8.5399223852915078</v>
      </c>
      <c r="H79" s="222">
        <f t="shared" si="32"/>
        <v>0.71166019877429232</v>
      </c>
      <c r="I79" s="453">
        <f t="shared" si="33"/>
        <v>49.603999999999999</v>
      </c>
      <c r="J79" s="177">
        <f t="shared" si="34"/>
        <v>0.81499569738331101</v>
      </c>
      <c r="K79" s="177">
        <f t="shared" si="35"/>
        <v>2.7270410524298168</v>
      </c>
      <c r="L79" s="177">
        <f t="shared" si="36"/>
        <v>2.7942709624570661</v>
      </c>
      <c r="M79" s="453">
        <f t="shared" si="43"/>
        <v>181.11637185215068</v>
      </c>
      <c r="N79" s="202">
        <f t="shared" si="37"/>
        <v>350</v>
      </c>
      <c r="O79" s="222">
        <f t="shared" si="38"/>
        <v>0.42174018224336746</v>
      </c>
      <c r="P79" s="178">
        <f t="shared" si="39"/>
        <v>1.445966339120117</v>
      </c>
      <c r="Q79" s="178">
        <f t="shared" si="40"/>
        <v>0.21343773758240256</v>
      </c>
      <c r="R79" s="178">
        <f t="shared" si="41"/>
        <v>0.99428571428571422</v>
      </c>
    </row>
    <row r="80" spans="3:18" x14ac:dyDescent="0.2">
      <c r="C80" s="175">
        <v>74</v>
      </c>
      <c r="D80" s="5">
        <f t="shared" si="42"/>
        <v>25.152000000000001</v>
      </c>
      <c r="E80" s="453">
        <f t="shared" si="29"/>
        <v>24.5</v>
      </c>
      <c r="F80" s="222">
        <f t="shared" si="30"/>
        <v>0.49343430274711997</v>
      </c>
      <c r="G80" s="177">
        <f t="shared" si="31"/>
        <v>8.5479795375815684</v>
      </c>
      <c r="H80" s="222">
        <f t="shared" si="32"/>
        <v>0.7123316281317974</v>
      </c>
      <c r="I80" s="453">
        <f t="shared" si="33"/>
        <v>49.652000000000001</v>
      </c>
      <c r="J80" s="177">
        <f t="shared" si="34"/>
        <v>0.81422749895458391</v>
      </c>
      <c r="K80" s="177">
        <f t="shared" si="35"/>
        <v>2.71927122742466</v>
      </c>
      <c r="L80" s="177">
        <f t="shared" si="36"/>
        <v>2.7916371392728592</v>
      </c>
      <c r="M80" s="453">
        <f t="shared" si="43"/>
        <v>181.45828844533347</v>
      </c>
      <c r="N80" s="202">
        <f t="shared" si="37"/>
        <v>350</v>
      </c>
      <c r="O80" s="222">
        <f t="shared" si="38"/>
        <v>0.42213808104406669</v>
      </c>
      <c r="P80" s="178">
        <f t="shared" si="39"/>
        <v>1.4473305635796572</v>
      </c>
      <c r="Q80" s="178">
        <f t="shared" si="40"/>
        <v>0.2138406713610804</v>
      </c>
      <c r="R80" s="178">
        <f t="shared" si="41"/>
        <v>0.99428571428571422</v>
      </c>
    </row>
    <row r="81" spans="3:18" x14ac:dyDescent="0.2">
      <c r="C81" s="175">
        <v>75</v>
      </c>
      <c r="D81" s="5">
        <f t="shared" si="42"/>
        <v>25.2</v>
      </c>
      <c r="E81" s="453">
        <f t="shared" si="29"/>
        <v>24.5</v>
      </c>
      <c r="F81" s="222">
        <f t="shared" si="30"/>
        <v>0.49295774647887319</v>
      </c>
      <c r="G81" s="177">
        <f t="shared" si="31"/>
        <v>8.5560211267605624</v>
      </c>
      <c r="H81" s="222">
        <f t="shared" si="32"/>
        <v>0.71300176056338016</v>
      </c>
      <c r="I81" s="453">
        <f t="shared" si="33"/>
        <v>49.7</v>
      </c>
      <c r="J81" s="177">
        <f t="shared" si="34"/>
        <v>0.81346222699606185</v>
      </c>
      <c r="K81" s="177">
        <f t="shared" si="35"/>
        <v>2.7115407566535397</v>
      </c>
      <c r="L81" s="177">
        <f t="shared" si="36"/>
        <v>2.7890133497007836</v>
      </c>
      <c r="M81" s="453">
        <f t="shared" si="43"/>
        <v>181.79986609799633</v>
      </c>
      <c r="N81" s="202">
        <f t="shared" si="37"/>
        <v>350</v>
      </c>
      <c r="O81" s="222">
        <f t="shared" si="38"/>
        <v>0.42253521126760568</v>
      </c>
      <c r="P81" s="178">
        <f t="shared" si="39"/>
        <v>1.4486921529175052</v>
      </c>
      <c r="Q81" s="178">
        <f t="shared" si="40"/>
        <v>0.2142432057131522</v>
      </c>
      <c r="R81" s="178">
        <f t="shared" si="41"/>
        <v>0.99428571428571422</v>
      </c>
    </row>
    <row r="82" spans="3:18" x14ac:dyDescent="0.2">
      <c r="C82" s="175">
        <v>76</v>
      </c>
      <c r="D82" s="5">
        <f t="shared" si="42"/>
        <v>25.247999999999998</v>
      </c>
      <c r="E82" s="453">
        <f t="shared" si="29"/>
        <v>24.5</v>
      </c>
      <c r="F82" s="222">
        <f t="shared" si="30"/>
        <v>0.49248210983356117</v>
      </c>
      <c r="G82" s="177">
        <f t="shared" si="31"/>
        <v>8.5640471978773007</v>
      </c>
      <c r="H82" s="222">
        <f t="shared" si="32"/>
        <v>0.71367059982310843</v>
      </c>
      <c r="I82" s="453">
        <f t="shared" si="33"/>
        <v>49.747999999999998</v>
      </c>
      <c r="J82" s="177">
        <f t="shared" si="34"/>
        <v>0.81269986481684953</v>
      </c>
      <c r="K82" s="177">
        <f t="shared" si="35"/>
        <v>2.7038493601321036</v>
      </c>
      <c r="L82" s="177">
        <f t="shared" si="36"/>
        <v>2.7863995365149123</v>
      </c>
      <c r="M82" s="453">
        <f t="shared" si="43"/>
        <v>182.1411048615148</v>
      </c>
      <c r="N82" s="202">
        <f t="shared" si="37"/>
        <v>350</v>
      </c>
      <c r="O82" s="222">
        <f t="shared" si="38"/>
        <v>0.42293157513869906</v>
      </c>
      <c r="P82" s="178">
        <f t="shared" si="39"/>
        <v>1.4500511147612538</v>
      </c>
      <c r="Q82" s="178">
        <f t="shared" si="40"/>
        <v>0.21464534069916125</v>
      </c>
      <c r="R82" s="178">
        <f t="shared" si="41"/>
        <v>0.99428571428571422</v>
      </c>
    </row>
    <row r="83" spans="3:18" x14ac:dyDescent="0.2">
      <c r="C83" s="175">
        <v>77</v>
      </c>
      <c r="D83" s="5">
        <f t="shared" si="42"/>
        <v>25.295999999999999</v>
      </c>
      <c r="E83" s="453">
        <f t="shared" si="29"/>
        <v>24.5</v>
      </c>
      <c r="F83" s="222">
        <f t="shared" si="30"/>
        <v>0.49200739015181943</v>
      </c>
      <c r="G83" s="177">
        <f t="shared" si="31"/>
        <v>8.5720577958068915</v>
      </c>
      <c r="H83" s="222">
        <f t="shared" si="32"/>
        <v>0.71433814965057429</v>
      </c>
      <c r="I83" s="453">
        <f t="shared" si="33"/>
        <v>49.795999999999999</v>
      </c>
      <c r="J83" s="177">
        <f t="shared" si="34"/>
        <v>0.81194039585273858</v>
      </c>
      <c r="K83" s="177">
        <f t="shared" si="35"/>
        <v>2.6961967604218073</v>
      </c>
      <c r="L83" s="177">
        <f t="shared" si="36"/>
        <v>2.7837956429236752</v>
      </c>
      <c r="M83" s="453">
        <f t="shared" si="43"/>
        <v>182.48200479064707</v>
      </c>
      <c r="N83" s="202">
        <f t="shared" si="37"/>
        <v>350</v>
      </c>
      <c r="O83" s="222">
        <f t="shared" si="38"/>
        <v>0.42332717487348381</v>
      </c>
      <c r="P83" s="178">
        <f t="shared" si="39"/>
        <v>1.4514074567090873</v>
      </c>
      <c r="Q83" s="178">
        <f t="shared" si="40"/>
        <v>0.21504707638363818</v>
      </c>
      <c r="R83" s="178">
        <f t="shared" si="41"/>
        <v>0.99428571428571422</v>
      </c>
    </row>
    <row r="84" spans="3:18" x14ac:dyDescent="0.2">
      <c r="C84" s="175">
        <v>78</v>
      </c>
      <c r="D84" s="5">
        <f t="shared" si="42"/>
        <v>25.344000000000001</v>
      </c>
      <c r="E84" s="453">
        <f t="shared" si="29"/>
        <v>24.5</v>
      </c>
      <c r="F84" s="222">
        <f t="shared" si="30"/>
        <v>0.49153358478452769</v>
      </c>
      <c r="G84" s="177">
        <f t="shared" si="31"/>
        <v>8.5800529652515838</v>
      </c>
      <c r="H84" s="222">
        <f t="shared" si="32"/>
        <v>0.71500441377096535</v>
      </c>
      <c r="I84" s="453">
        <f t="shared" si="33"/>
        <v>49.844000000000001</v>
      </c>
      <c r="J84" s="177">
        <f t="shared" si="34"/>
        <v>0.81118380366500697</v>
      </c>
      <c r="K84" s="177">
        <f t="shared" si="35"/>
        <v>2.688582682601822</v>
      </c>
      <c r="L84" s="177">
        <f t="shared" si="36"/>
        <v>2.7812016125657379</v>
      </c>
      <c r="M84" s="453">
        <f t="shared" si="43"/>
        <v>182.82256594350147</v>
      </c>
      <c r="N84" s="202">
        <f t="shared" si="37"/>
        <v>350</v>
      </c>
      <c r="O84" s="222">
        <f t="shared" si="38"/>
        <v>0.42372201267956028</v>
      </c>
      <c r="P84" s="178">
        <f t="shared" si="39"/>
        <v>1.4527611863299208</v>
      </c>
      <c r="Q84" s="178">
        <f t="shared" si="40"/>
        <v>0.21544841283506092</v>
      </c>
      <c r="R84" s="178">
        <f t="shared" si="41"/>
        <v>0.99428571428571422</v>
      </c>
    </row>
    <row r="85" spans="3:18" x14ac:dyDescent="0.2">
      <c r="C85" s="175">
        <v>79</v>
      </c>
      <c r="D85" s="5">
        <f t="shared" si="42"/>
        <v>25.391999999999999</v>
      </c>
      <c r="E85" s="453">
        <f t="shared" si="29"/>
        <v>24.5</v>
      </c>
      <c r="F85" s="222">
        <f t="shared" si="30"/>
        <v>0.4910606910927604</v>
      </c>
      <c r="G85" s="177">
        <f t="shared" si="31"/>
        <v>8.5880327507416023</v>
      </c>
      <c r="H85" s="222">
        <f t="shared" si="32"/>
        <v>0.71566939589513356</v>
      </c>
      <c r="I85" s="453">
        <f t="shared" si="33"/>
        <v>49.891999999999996</v>
      </c>
      <c r="J85" s="177">
        <f t="shared" si="34"/>
        <v>0.81043007193923244</v>
      </c>
      <c r="K85" s="177">
        <f t="shared" si="35"/>
        <v>2.6810068542413172</v>
      </c>
      <c r="L85" s="177">
        <f t="shared" si="36"/>
        <v>2.7786173895059396</v>
      </c>
      <c r="M85" s="453">
        <f t="shared" si="43"/>
        <v>183.16278838150259</v>
      </c>
      <c r="N85" s="202">
        <f t="shared" si="37"/>
        <v>350</v>
      </c>
      <c r="O85" s="222">
        <f t="shared" si="38"/>
        <v>0.42411609075603307</v>
      </c>
      <c r="P85" s="178">
        <f t="shared" si="39"/>
        <v>1.4541123111635419</v>
      </c>
      <c r="Q85" s="178">
        <f t="shared" si="40"/>
        <v>0.2158493501258156</v>
      </c>
      <c r="R85" s="178">
        <f t="shared" si="41"/>
        <v>0.99428571428571422</v>
      </c>
    </row>
    <row r="86" spans="3:18" x14ac:dyDescent="0.2">
      <c r="C86" s="175">
        <v>80</v>
      </c>
      <c r="D86" s="5">
        <f t="shared" si="42"/>
        <v>25.439999999999998</v>
      </c>
      <c r="E86" s="453">
        <f t="shared" si="29"/>
        <v>24.5</v>
      </c>
      <c r="F86" s="222">
        <f t="shared" si="30"/>
        <v>0.49058870644773733</v>
      </c>
      <c r="G86" s="177">
        <f t="shared" si="31"/>
        <v>8.5959971966359632</v>
      </c>
      <c r="H86" s="222">
        <f t="shared" si="32"/>
        <v>0.71633309971966364</v>
      </c>
      <c r="I86" s="453">
        <f t="shared" si="33"/>
        <v>49.94</v>
      </c>
      <c r="J86" s="177">
        <f t="shared" si="34"/>
        <v>0.80967918448412146</v>
      </c>
      <c r="K86" s="177">
        <f t="shared" si="35"/>
        <v>2.6734690053720991</v>
      </c>
      <c r="L86" s="177">
        <f t="shared" si="36"/>
        <v>2.7760429182312731</v>
      </c>
      <c r="M86" s="453">
        <f t="shared" si="43"/>
        <v>183.5026721693585</v>
      </c>
      <c r="N86" s="202">
        <f t="shared" si="37"/>
        <v>350</v>
      </c>
      <c r="O86" s="222">
        <f t="shared" si="38"/>
        <v>0.42450941129355224</v>
      </c>
      <c r="P86" s="178">
        <f t="shared" si="39"/>
        <v>1.4554608387207504</v>
      </c>
      <c r="Q86" s="178">
        <f t="shared" si="40"/>
        <v>0.21624988833215794</v>
      </c>
      <c r="R86" s="178">
        <f t="shared" si="41"/>
        <v>0.99428571428571422</v>
      </c>
    </row>
    <row r="87" spans="3:18" x14ac:dyDescent="0.2">
      <c r="C87" s="175">
        <v>81</v>
      </c>
      <c r="D87" s="5">
        <f t="shared" si="42"/>
        <v>25.488</v>
      </c>
      <c r="E87" s="453">
        <f t="shared" si="29"/>
        <v>24.5</v>
      </c>
      <c r="F87" s="222">
        <f t="shared" si="30"/>
        <v>0.49011762823077537</v>
      </c>
      <c r="G87" s="177">
        <f t="shared" si="31"/>
        <v>8.6039463471233084</v>
      </c>
      <c r="H87" s="222">
        <f t="shared" si="32"/>
        <v>0.7169955289269424</v>
      </c>
      <c r="I87" s="453">
        <f t="shared" si="33"/>
        <v>49.988</v>
      </c>
      <c r="J87" s="177">
        <f t="shared" si="34"/>
        <v>0.80893112523034794</v>
      </c>
      <c r="K87" s="177">
        <f t="shared" si="35"/>
        <v>2.6659688684615985</v>
      </c>
      <c r="L87" s="177">
        <f t="shared" si="36"/>
        <v>2.7734781436469071</v>
      </c>
      <c r="M87" s="453">
        <f t="shared" si="43"/>
        <v>183.8422173750283</v>
      </c>
      <c r="N87" s="202">
        <f t="shared" si="37"/>
        <v>350</v>
      </c>
      <c r="O87" s="222">
        <f t="shared" si="38"/>
        <v>0.4249019764743539</v>
      </c>
      <c r="P87" s="178">
        <f t="shared" si="39"/>
        <v>1.4568067764834991</v>
      </c>
      <c r="Q87" s="178">
        <f t="shared" si="40"/>
        <v>0.21665002753417487</v>
      </c>
      <c r="R87" s="178">
        <f t="shared" si="41"/>
        <v>0.99428571428571422</v>
      </c>
    </row>
    <row r="88" spans="3:18" x14ac:dyDescent="0.2">
      <c r="C88" s="175">
        <v>82</v>
      </c>
      <c r="D88" s="5">
        <f t="shared" si="42"/>
        <v>25.535999999999998</v>
      </c>
      <c r="E88" s="453">
        <f t="shared" si="29"/>
        <v>24.5</v>
      </c>
      <c r="F88" s="222">
        <f t="shared" si="30"/>
        <v>0.48964745383324004</v>
      </c>
      <c r="G88" s="177">
        <f t="shared" si="31"/>
        <v>8.611880246222718</v>
      </c>
      <c r="H88" s="222">
        <f t="shared" si="32"/>
        <v>0.71765668718522646</v>
      </c>
      <c r="I88" s="453">
        <f t="shared" si="33"/>
        <v>50.036000000000001</v>
      </c>
      <c r="J88" s="177">
        <f t="shared" si="34"/>
        <v>0.80818587822940835</v>
      </c>
      <c r="K88" s="177">
        <f t="shared" si="35"/>
        <v>2.6585061783862116</v>
      </c>
      <c r="L88" s="177">
        <f t="shared" si="36"/>
        <v>2.7709230110722567</v>
      </c>
      <c r="M88" s="453">
        <f t="shared" si="43"/>
        <v>184.18142406968937</v>
      </c>
      <c r="N88" s="202">
        <f t="shared" si="37"/>
        <v>350</v>
      </c>
      <c r="O88" s="222">
        <f t="shared" si="38"/>
        <v>0.42529378847229993</v>
      </c>
      <c r="P88" s="178">
        <f t="shared" si="39"/>
        <v>1.4581501319050283</v>
      </c>
      <c r="Q88" s="178">
        <f t="shared" si="40"/>
        <v>0.21704976781574567</v>
      </c>
      <c r="R88" s="178">
        <f t="shared" si="41"/>
        <v>0.99428571428571422</v>
      </c>
    </row>
    <row r="89" spans="3:18" x14ac:dyDescent="0.2">
      <c r="C89" s="175">
        <v>83</v>
      </c>
      <c r="D89" s="5">
        <f t="shared" si="42"/>
        <v>25.584</v>
      </c>
      <c r="E89" s="453">
        <f t="shared" si="29"/>
        <v>24.5</v>
      </c>
      <c r="F89" s="222">
        <f t="shared" si="30"/>
        <v>0.48917818065649704</v>
      </c>
      <c r="G89" s="177">
        <f t="shared" si="31"/>
        <v>8.6197989377845197</v>
      </c>
      <c r="H89" s="222">
        <f t="shared" si="32"/>
        <v>0.71831657814870997</v>
      </c>
      <c r="I89" s="453">
        <f t="shared" si="33"/>
        <v>50.084000000000003</v>
      </c>
      <c r="J89" s="177">
        <f t="shared" si="34"/>
        <v>0.80744342765248711</v>
      </c>
      <c r="K89" s="177">
        <f t="shared" si="35"/>
        <v>2.6510806724049769</v>
      </c>
      <c r="L89" s="177">
        <f t="shared" si="36"/>
        <v>2.7683774662370988</v>
      </c>
      <c r="M89" s="453">
        <f t="shared" si="43"/>
        <v>184.52029232770576</v>
      </c>
      <c r="N89" s="202">
        <f t="shared" si="37"/>
        <v>350</v>
      </c>
      <c r="O89" s="222">
        <f t="shared" si="38"/>
        <v>0.42568484945291912</v>
      </c>
      <c r="P89" s="178">
        <f t="shared" si="39"/>
        <v>1.4594909124100082</v>
      </c>
      <c r="Q89" s="178">
        <f t="shared" si="40"/>
        <v>0.21744910926450528</v>
      </c>
      <c r="R89" s="178">
        <f t="shared" si="41"/>
        <v>0.99428571428571422</v>
      </c>
    </row>
    <row r="90" spans="3:18" x14ac:dyDescent="0.2">
      <c r="C90" s="175">
        <v>84</v>
      </c>
      <c r="D90" s="5">
        <f t="shared" si="42"/>
        <v>25.631999999999998</v>
      </c>
      <c r="E90" s="453">
        <f t="shared" si="29"/>
        <v>24.5</v>
      </c>
      <c r="F90" s="222">
        <f t="shared" si="30"/>
        <v>0.48870980611186471</v>
      </c>
      <c r="G90" s="177">
        <f t="shared" si="31"/>
        <v>8.627702465491101</v>
      </c>
      <c r="H90" s="222">
        <f t="shared" si="32"/>
        <v>0.71897520545759175</v>
      </c>
      <c r="I90" s="453">
        <f t="shared" si="33"/>
        <v>50.131999999999998</v>
      </c>
      <c r="J90" s="177">
        <f t="shared" si="34"/>
        <v>0.80670375778933712</v>
      </c>
      <c r="K90" s="177">
        <f t="shared" si="35"/>
        <v>2.6436920901335954</v>
      </c>
      <c r="L90" s="177">
        <f t="shared" si="36"/>
        <v>2.7658414552777266</v>
      </c>
      <c r="M90" s="453">
        <f t="shared" si="43"/>
        <v>184.85882222659617</v>
      </c>
      <c r="N90" s="202">
        <f t="shared" si="37"/>
        <v>350</v>
      </c>
      <c r="O90" s="222">
        <f t="shared" si="38"/>
        <v>0.42607516157344616</v>
      </c>
      <c r="P90" s="178">
        <f t="shared" si="39"/>
        <v>1.4608291253946724</v>
      </c>
      <c r="Q90" s="178">
        <f t="shared" si="40"/>
        <v>0.2178480519718059</v>
      </c>
      <c r="R90" s="178">
        <f t="shared" si="41"/>
        <v>0.99428571428571422</v>
      </c>
    </row>
    <row r="91" spans="3:18" x14ac:dyDescent="0.2">
      <c r="C91" s="175">
        <v>85</v>
      </c>
      <c r="D91" s="5">
        <f t="shared" si="42"/>
        <v>25.68</v>
      </c>
      <c r="E91" s="453">
        <f t="shared" si="29"/>
        <v>24.5</v>
      </c>
      <c r="F91" s="222">
        <f t="shared" si="30"/>
        <v>0.48824232762056596</v>
      </c>
      <c r="G91" s="177">
        <f t="shared" si="31"/>
        <v>8.635590872857712</v>
      </c>
      <c r="H91" s="222">
        <f t="shared" si="32"/>
        <v>0.71963257273814263</v>
      </c>
      <c r="I91" s="453">
        <f t="shared" si="33"/>
        <v>50.18</v>
      </c>
      <c r="J91" s="177">
        <f t="shared" si="34"/>
        <v>0.80596685304717086</v>
      </c>
      <c r="K91" s="177">
        <f t="shared" si="35"/>
        <v>2.636340173518783</v>
      </c>
      <c r="L91" s="177">
        <f t="shared" si="36"/>
        <v>2.7633149247331574</v>
      </c>
      <c r="M91" s="453">
        <f t="shared" si="43"/>
        <v>185.19701384700207</v>
      </c>
      <c r="N91" s="202">
        <f t="shared" si="37"/>
        <v>350</v>
      </c>
      <c r="O91" s="222">
        <f t="shared" si="38"/>
        <v>0.4264647269828617</v>
      </c>
      <c r="P91" s="178">
        <f t="shared" si="39"/>
        <v>1.462164778226954</v>
      </c>
      <c r="Q91" s="178">
        <f t="shared" si="40"/>
        <v>0.21824659603268007</v>
      </c>
      <c r="R91" s="178">
        <f t="shared" si="41"/>
        <v>0.99428571428571422</v>
      </c>
    </row>
    <row r="92" spans="3:18" x14ac:dyDescent="0.2">
      <c r="C92" s="175">
        <v>86</v>
      </c>
      <c r="D92" s="5">
        <f t="shared" si="42"/>
        <v>25.727999999999998</v>
      </c>
      <c r="E92" s="453">
        <f t="shared" si="29"/>
        <v>24.5</v>
      </c>
      <c r="F92" s="222">
        <f t="shared" si="30"/>
        <v>0.48777574261368167</v>
      </c>
      <c r="G92" s="177">
        <f t="shared" si="31"/>
        <v>8.6434642032332558</v>
      </c>
      <c r="H92" s="222">
        <f t="shared" si="32"/>
        <v>0.72028868360277132</v>
      </c>
      <c r="I92" s="453">
        <f t="shared" si="33"/>
        <v>50.227999999999994</v>
      </c>
      <c r="J92" s="177">
        <f t="shared" si="34"/>
        <v>0.80523269794956476</v>
      </c>
      <c r="K92" s="177">
        <f t="shared" si="35"/>
        <v>2.6290246668129447</v>
      </c>
      <c r="L92" s="177">
        <f t="shared" si="36"/>
        <v>2.7607978215413644</v>
      </c>
      <c r="M92" s="453">
        <f t="shared" si="43"/>
        <v>185.53486727265727</v>
      </c>
      <c r="N92" s="202">
        <f t="shared" si="37"/>
        <v>350</v>
      </c>
      <c r="O92" s="222">
        <f t="shared" si="38"/>
        <v>0.42685354782193202</v>
      </c>
      <c r="P92" s="178">
        <f t="shared" si="39"/>
        <v>1.4634978782466239</v>
      </c>
      <c r="Q92" s="178">
        <f t="shared" si="40"/>
        <v>0.21864474154580446</v>
      </c>
      <c r="R92" s="178">
        <f t="shared" si="41"/>
        <v>0.99428571428571422</v>
      </c>
    </row>
    <row r="93" spans="3:18" x14ac:dyDescent="0.2">
      <c r="C93" s="175">
        <v>87</v>
      </c>
      <c r="D93" s="5">
        <f t="shared" si="42"/>
        <v>25.776</v>
      </c>
      <c r="E93" s="453">
        <f t="shared" si="29"/>
        <v>24.5</v>
      </c>
      <c r="F93" s="222">
        <f t="shared" si="30"/>
        <v>0.4873100485321028</v>
      </c>
      <c r="G93" s="177">
        <f t="shared" si="31"/>
        <v>8.6513224998010969</v>
      </c>
      <c r="H93" s="222">
        <f t="shared" si="32"/>
        <v>0.72094354165009145</v>
      </c>
      <c r="I93" s="453">
        <f t="shared" si="33"/>
        <v>50.275999999999996</v>
      </c>
      <c r="J93" s="177">
        <f t="shared" si="34"/>
        <v>0.80450127713537656</v>
      </c>
      <c r="K93" s="177">
        <f t="shared" si="35"/>
        <v>2.6217453165491782</v>
      </c>
      <c r="L93" s="177">
        <f t="shared" si="36"/>
        <v>2.7582900930355767</v>
      </c>
      <c r="M93" s="453">
        <f t="shared" si="43"/>
        <v>185.87238259035595</v>
      </c>
      <c r="N93" s="202">
        <f t="shared" si="37"/>
        <v>350</v>
      </c>
      <c r="O93" s="222">
        <f t="shared" si="38"/>
        <v>0.42724162622324768</v>
      </c>
      <c r="P93" s="178">
        <f t="shared" si="39"/>
        <v>1.4648284327654204</v>
      </c>
      <c r="Q93" s="178">
        <f t="shared" si="40"/>
        <v>0.21904248861346229</v>
      </c>
      <c r="R93" s="178">
        <f t="shared" si="41"/>
        <v>0.99428571428571422</v>
      </c>
    </row>
    <row r="94" spans="3:18" x14ac:dyDescent="0.2">
      <c r="C94" s="175">
        <v>88</v>
      </c>
      <c r="D94" s="5">
        <f t="shared" si="42"/>
        <v>25.823999999999998</v>
      </c>
      <c r="E94" s="453">
        <f t="shared" si="29"/>
        <v>24.5</v>
      </c>
      <c r="F94" s="222">
        <f t="shared" si="30"/>
        <v>0.48684524282648439</v>
      </c>
      <c r="G94" s="177">
        <f t="shared" si="31"/>
        <v>8.6591658055798408</v>
      </c>
      <c r="H94" s="222">
        <f t="shared" si="32"/>
        <v>0.72159715046498674</v>
      </c>
      <c r="I94" s="453">
        <f t="shared" si="33"/>
        <v>50.323999999999998</v>
      </c>
      <c r="J94" s="177">
        <f t="shared" si="34"/>
        <v>0.8037725753576721</v>
      </c>
      <c r="K94" s="177">
        <f t="shared" si="35"/>
        <v>2.6145018715165915</v>
      </c>
      <c r="L94" s="177">
        <f t="shared" si="36"/>
        <v>2.7557916869405901</v>
      </c>
      <c r="M94" s="453">
        <f t="shared" si="43"/>
        <v>186.20955988992296</v>
      </c>
      <c r="N94" s="202">
        <f t="shared" si="37"/>
        <v>350</v>
      </c>
      <c r="O94" s="222">
        <f t="shared" si="38"/>
        <v>0.42762896431126307</v>
      </c>
      <c r="P94" s="178">
        <f t="shared" si="39"/>
        <v>1.4661564490671877</v>
      </c>
      <c r="Q94" s="178">
        <f t="shared" si="40"/>
        <v>0.21943983734150818</v>
      </c>
      <c r="R94" s="178">
        <f t="shared" si="41"/>
        <v>0.99428571428571422</v>
      </c>
    </row>
    <row r="95" spans="3:18" x14ac:dyDescent="0.2">
      <c r="C95" s="175">
        <v>89</v>
      </c>
      <c r="D95" s="5">
        <f t="shared" si="42"/>
        <v>25.872</v>
      </c>
      <c r="E95" s="453">
        <f t="shared" si="29"/>
        <v>24.5</v>
      </c>
      <c r="F95" s="222">
        <f t="shared" si="30"/>
        <v>0.48638132295719844</v>
      </c>
      <c r="G95" s="177">
        <f t="shared" si="31"/>
        <v>8.666994163424123</v>
      </c>
      <c r="H95" s="222">
        <f t="shared" si="32"/>
        <v>0.72224951361867695</v>
      </c>
      <c r="I95" s="453">
        <f t="shared" si="33"/>
        <v>50.372</v>
      </c>
      <c r="J95" s="177">
        <f t="shared" si="34"/>
        <v>0.80304657748266794</v>
      </c>
      <c r="K95" s="177">
        <f t="shared" si="35"/>
        <v>2.6072940827359345</v>
      </c>
      <c r="L95" s="177">
        <f t="shared" si="36"/>
        <v>2.7533025513691469</v>
      </c>
      <c r="M95" s="453">
        <f t="shared" si="43"/>
        <v>186.54639926418261</v>
      </c>
      <c r="N95" s="202">
        <f t="shared" si="37"/>
        <v>350</v>
      </c>
      <c r="O95" s="222">
        <f t="shared" si="38"/>
        <v>0.42801556420233472</v>
      </c>
      <c r="P95" s="178">
        <f t="shared" si="39"/>
        <v>1.4674819344080046</v>
      </c>
      <c r="Q95" s="178">
        <f t="shared" si="40"/>
        <v>0.21983678783933147</v>
      </c>
      <c r="R95" s="178">
        <f t="shared" si="41"/>
        <v>0.99428571428571422</v>
      </c>
    </row>
    <row r="96" spans="3:18" x14ac:dyDescent="0.2">
      <c r="C96" s="175">
        <v>90</v>
      </c>
      <c r="D96" s="5">
        <f t="shared" si="42"/>
        <v>25.919999999999998</v>
      </c>
      <c r="E96" s="453">
        <f t="shared" si="29"/>
        <v>24.5</v>
      </c>
      <c r="F96" s="222">
        <f t="shared" si="30"/>
        <v>0.48591828639428797</v>
      </c>
      <c r="G96" s="177">
        <f t="shared" si="31"/>
        <v>8.6748076160253849</v>
      </c>
      <c r="H96" s="222">
        <f t="shared" si="32"/>
        <v>0.72290063466878207</v>
      </c>
      <c r="I96" s="453">
        <f t="shared" si="33"/>
        <v>50.42</v>
      </c>
      <c r="J96" s="177">
        <f t="shared" si="34"/>
        <v>0.80232326848868218</v>
      </c>
      <c r="K96" s="177">
        <f t="shared" si="35"/>
        <v>2.6001217034355442</v>
      </c>
      <c r="L96" s="177">
        <f t="shared" si="36"/>
        <v>2.7508226348183391</v>
      </c>
      <c r="M96" s="453">
        <f t="shared" si="43"/>
        <v>186.88290080892887</v>
      </c>
      <c r="N96" s="202">
        <f t="shared" si="37"/>
        <v>350</v>
      </c>
      <c r="O96" s="222">
        <f t="shared" si="38"/>
        <v>0.42840142800476011</v>
      </c>
      <c r="P96" s="178">
        <f t="shared" si="39"/>
        <v>1.4688048960163205</v>
      </c>
      <c r="Q96" s="178">
        <f t="shared" si="40"/>
        <v>0.22023334021982122</v>
      </c>
      <c r="R96" s="178">
        <f t="shared" si="41"/>
        <v>0.99428571428571422</v>
      </c>
    </row>
    <row r="97" spans="3:18" x14ac:dyDescent="0.2">
      <c r="C97" s="175">
        <v>91</v>
      </c>
      <c r="D97" s="5">
        <f t="shared" si="42"/>
        <v>25.968</v>
      </c>
      <c r="E97" s="453">
        <f t="shared" si="29"/>
        <v>24.5</v>
      </c>
      <c r="F97" s="222">
        <f t="shared" si="30"/>
        <v>0.48545613061742093</v>
      </c>
      <c r="G97" s="177">
        <f t="shared" si="31"/>
        <v>8.6826062059126574</v>
      </c>
      <c r="H97" s="222">
        <f t="shared" si="32"/>
        <v>0.72355051715938812</v>
      </c>
      <c r="I97" s="453">
        <f t="shared" si="33"/>
        <v>50.468000000000004</v>
      </c>
      <c r="J97" s="177">
        <f t="shared" si="34"/>
        <v>0.8016026334650993</v>
      </c>
      <c r="K97" s="177">
        <f t="shared" si="35"/>
        <v>2.592984489027585</v>
      </c>
      <c r="L97" s="177">
        <f t="shared" si="36"/>
        <v>2.7483518861660543</v>
      </c>
      <c r="M97" s="453">
        <f t="shared" si="43"/>
        <v>187.21906462289542</v>
      </c>
      <c r="N97" s="202">
        <f t="shared" si="37"/>
        <v>350</v>
      </c>
      <c r="O97" s="222">
        <f t="shared" si="38"/>
        <v>0.42878655781881603</v>
      </c>
      <c r="P97" s="178">
        <f t="shared" si="39"/>
        <v>1.4701253410930835</v>
      </c>
      <c r="Q97" s="178">
        <f t="shared" si="40"/>
        <v>0.22062949459933062</v>
      </c>
      <c r="R97" s="178">
        <f t="shared" si="41"/>
        <v>0.99428571428571422</v>
      </c>
    </row>
    <row r="98" spans="3:18" x14ac:dyDescent="0.2">
      <c r="C98" s="175">
        <v>92</v>
      </c>
      <c r="D98" s="5">
        <f t="shared" si="42"/>
        <v>26.015999999999998</v>
      </c>
      <c r="E98" s="453">
        <f t="shared" si="29"/>
        <v>24.5</v>
      </c>
      <c r="F98" s="222">
        <f t="shared" si="30"/>
        <v>0.4849948531158445</v>
      </c>
      <c r="G98" s="177">
        <f t="shared" si="31"/>
        <v>8.6903899754533196</v>
      </c>
      <c r="H98" s="222">
        <f t="shared" si="32"/>
        <v>0.72419916462111</v>
      </c>
      <c r="I98" s="453">
        <f t="shared" si="33"/>
        <v>50.515999999999998</v>
      </c>
      <c r="J98" s="177">
        <f t="shared" si="34"/>
        <v>0.80088465761134542</v>
      </c>
      <c r="K98" s="177">
        <f t="shared" si="35"/>
        <v>2.5858821970846022</v>
      </c>
      <c r="L98" s="177">
        <f t="shared" si="36"/>
        <v>2.7458902546674699</v>
      </c>
      <c r="M98" s="453">
        <f t="shared" si="43"/>
        <v>187.55489080772571</v>
      </c>
      <c r="N98" s="202">
        <f t="shared" si="37"/>
        <v>350</v>
      </c>
      <c r="O98" s="222">
        <f t="shared" si="38"/>
        <v>0.42917095573679631</v>
      </c>
      <c r="P98" s="178">
        <f t="shared" si="39"/>
        <v>1.471443276811873</v>
      </c>
      <c r="Q98" s="178">
        <f t="shared" si="40"/>
        <v>0.22102525109764221</v>
      </c>
      <c r="R98" s="178">
        <f t="shared" si="41"/>
        <v>0.99428571428571422</v>
      </c>
    </row>
    <row r="99" spans="3:18" x14ac:dyDescent="0.2">
      <c r="C99" s="175">
        <v>93</v>
      </c>
      <c r="D99" s="5">
        <f t="shared" si="42"/>
        <v>26.064</v>
      </c>
      <c r="E99" s="453">
        <f t="shared" si="29"/>
        <v>24.5</v>
      </c>
      <c r="F99" s="222">
        <f t="shared" si="30"/>
        <v>0.4845344513883395</v>
      </c>
      <c r="G99" s="177">
        <f t="shared" si="31"/>
        <v>8.698158966853887</v>
      </c>
      <c r="H99" s="222">
        <f t="shared" si="32"/>
        <v>0.72484658057115725</v>
      </c>
      <c r="I99" s="453">
        <f t="shared" si="33"/>
        <v>50.564</v>
      </c>
      <c r="J99" s="177">
        <f t="shared" si="34"/>
        <v>0.800169326235874</v>
      </c>
      <c r="K99" s="177">
        <f t="shared" si="35"/>
        <v>2.5788145873163528</v>
      </c>
      <c r="L99" s="177">
        <f t="shared" si="36"/>
        <v>2.743437689951568</v>
      </c>
      <c r="M99" s="453">
        <f t="shared" si="43"/>
        <v>187.8903794679442</v>
      </c>
      <c r="N99" s="202">
        <f t="shared" si="37"/>
        <v>350</v>
      </c>
      <c r="O99" s="222">
        <f t="shared" si="38"/>
        <v>0.42955462384305038</v>
      </c>
      <c r="P99" s="178">
        <f t="shared" si="39"/>
        <v>1.4727587103190296</v>
      </c>
      <c r="Q99" s="178">
        <f t="shared" si="40"/>
        <v>0.22142060983793338</v>
      </c>
      <c r="R99" s="178">
        <f t="shared" si="41"/>
        <v>0.99428571428571422</v>
      </c>
    </row>
    <row r="100" spans="3:18" x14ac:dyDescent="0.2">
      <c r="C100" s="175">
        <v>94</v>
      </c>
      <c r="D100" s="5">
        <f t="shared" si="42"/>
        <v>26.111999999999998</v>
      </c>
      <c r="E100" s="453">
        <f t="shared" si="29"/>
        <v>24.5</v>
      </c>
      <c r="F100" s="222">
        <f t="shared" si="30"/>
        <v>0.48407492294317556</v>
      </c>
      <c r="G100" s="177">
        <f t="shared" si="31"/>
        <v>8.7059132221607509</v>
      </c>
      <c r="H100" s="222">
        <f t="shared" si="32"/>
        <v>0.72549276851339595</v>
      </c>
      <c r="I100" s="453">
        <f t="shared" si="33"/>
        <v>50.611999999999995</v>
      </c>
      <c r="J100" s="177">
        <f t="shared" si="34"/>
        <v>0.79945662475516543</v>
      </c>
      <c r="K100" s="177">
        <f t="shared" si="35"/>
        <v>2.5717814215469477</v>
      </c>
      <c r="L100" s="177">
        <f t="shared" si="36"/>
        <v>2.7409941420177102</v>
      </c>
      <c r="M100" s="453">
        <f t="shared" si="43"/>
        <v>188.22553071092659</v>
      </c>
      <c r="N100" s="202">
        <f t="shared" si="37"/>
        <v>350</v>
      </c>
      <c r="O100" s="222">
        <f t="shared" si="38"/>
        <v>0.42993756421402041</v>
      </c>
      <c r="P100" s="178">
        <f t="shared" si="39"/>
        <v>1.4740716487337842</v>
      </c>
      <c r="Q100" s="178">
        <f t="shared" si="40"/>
        <v>0.2218155709467419</v>
      </c>
      <c r="R100" s="178">
        <f t="shared" si="41"/>
        <v>0.99428571428571422</v>
      </c>
    </row>
    <row r="101" spans="3:18" x14ac:dyDescent="0.2">
      <c r="C101" s="175">
        <v>95</v>
      </c>
      <c r="D101" s="5">
        <f t="shared" si="42"/>
        <v>26.159999999999997</v>
      </c>
      <c r="E101" s="453">
        <f t="shared" si="29"/>
        <v>24.5</v>
      </c>
      <c r="F101" s="222">
        <f t="shared" si="30"/>
        <v>0.48361626529806556</v>
      </c>
      <c r="G101" s="177">
        <f t="shared" si="31"/>
        <v>8.7136527832609527</v>
      </c>
      <c r="H101" s="222">
        <f t="shared" si="32"/>
        <v>0.72613773193841269</v>
      </c>
      <c r="I101" s="453">
        <f t="shared" si="33"/>
        <v>50.66</v>
      </c>
      <c r="J101" s="177">
        <f t="shared" si="34"/>
        <v>0.79874653869273471</v>
      </c>
      <c r="K101" s="177">
        <f t="shared" si="35"/>
        <v>2.5647824636922678</v>
      </c>
      <c r="L101" s="177">
        <f t="shared" si="36"/>
        <v>2.7385595612322331</v>
      </c>
      <c r="M101" s="453">
        <f t="shared" si="43"/>
        <v>188.56034464687127</v>
      </c>
      <c r="N101" s="202">
        <f t="shared" si="37"/>
        <v>350</v>
      </c>
      <c r="O101" s="222">
        <f t="shared" si="38"/>
        <v>0.43031977891827872</v>
      </c>
      <c r="P101" s="178">
        <f t="shared" si="39"/>
        <v>1.4753820991483841</v>
      </c>
      <c r="Q101" s="178">
        <f t="shared" si="40"/>
        <v>0.22221013455393152</v>
      </c>
      <c r="R101" s="178">
        <f t="shared" si="41"/>
        <v>0.99428571428571422</v>
      </c>
    </row>
    <row r="102" spans="3:18" x14ac:dyDescent="0.2">
      <c r="C102" s="175">
        <v>96</v>
      </c>
      <c r="D102" s="5">
        <f t="shared" si="42"/>
        <v>26.207999999999998</v>
      </c>
      <c r="E102" s="453">
        <f t="shared" si="29"/>
        <v>24.5</v>
      </c>
      <c r="F102" s="222">
        <f t="shared" si="30"/>
        <v>0.48315847598012152</v>
      </c>
      <c r="G102" s="177">
        <f t="shared" ref="G102:G106" si="44">F102*D102*Isw_max*0.5*Efficiency</f>
        <v>8.7213776918829371</v>
      </c>
      <c r="H102" s="222">
        <f t="shared" ref="H102:H106" si="45">G102/Vout</f>
        <v>0.72678147432357809</v>
      </c>
      <c r="I102" s="453">
        <f t="shared" si="33"/>
        <v>50.707999999999998</v>
      </c>
      <c r="J102" s="177">
        <f t="shared" si="34"/>
        <v>0.79803905367815153</v>
      </c>
      <c r="K102" s="177">
        <f t="shared" ref="K102:K106" si="46">L*J102/D102*1000000</f>
        <v>2.5578174797376652</v>
      </c>
      <c r="L102" s="177">
        <f t="shared" si="36"/>
        <v>2.7361338983250909</v>
      </c>
      <c r="M102" s="453">
        <f t="shared" si="43"/>
        <v>188.89482138877054</v>
      </c>
      <c r="N102" s="202">
        <f t="shared" si="37"/>
        <v>350</v>
      </c>
      <c r="O102" s="222">
        <f t="shared" ref="O102:O106" si="47">1/((N102*1000*L)*(1/D102+1/E102))</f>
        <v>0.4307012700165655</v>
      </c>
      <c r="P102" s="178">
        <f t="shared" ref="P102:P106" si="48">L*O102/E102*1000000</f>
        <v>1.4766900686282245</v>
      </c>
      <c r="Q102" s="178">
        <f t="shared" ref="Q102:Q106" si="49">0.5*P102*O102*Nps*N102/1000</f>
        <v>0.22260430079265894</v>
      </c>
      <c r="R102" s="178">
        <f t="shared" si="41"/>
        <v>0.99428571428571422</v>
      </c>
    </row>
    <row r="103" spans="3:18" x14ac:dyDescent="0.2">
      <c r="C103" s="175">
        <v>97</v>
      </c>
      <c r="D103" s="5">
        <f t="shared" ref="D103:D106" si="50">C103/100*(VIN_max-VIN_min)+VIN_min</f>
        <v>26.256</v>
      </c>
      <c r="E103" s="453">
        <f t="shared" si="29"/>
        <v>24.5</v>
      </c>
      <c r="F103" s="222">
        <f t="shared" si="30"/>
        <v>0.48270155252580976</v>
      </c>
      <c r="G103" s="177">
        <f t="shared" si="44"/>
        <v>8.7290879895972875</v>
      </c>
      <c r="H103" s="222">
        <f t="shared" si="45"/>
        <v>0.72742399913310729</v>
      </c>
      <c r="I103" s="453">
        <f t="shared" si="33"/>
        <v>50.756</v>
      </c>
      <c r="J103" s="177">
        <f t="shared" si="34"/>
        <v>0.79733415544607156</v>
      </c>
      <c r="K103" s="177">
        <f t="shared" si="46"/>
        <v>2.5508862377159507</v>
      </c>
      <c r="L103" s="177">
        <f t="shared" si="36"/>
        <v>2.7337171043865309</v>
      </c>
      <c r="M103" s="453">
        <f t="shared" si="43"/>
        <v>189.22896105238232</v>
      </c>
      <c r="N103" s="202">
        <f t="shared" si="37"/>
        <v>350</v>
      </c>
      <c r="O103" s="222">
        <f t="shared" si="47"/>
        <v>0.43108203956182523</v>
      </c>
      <c r="P103" s="178">
        <f t="shared" si="48"/>
        <v>1.4779955642119722</v>
      </c>
      <c r="Q103" s="178">
        <f t="shared" si="49"/>
        <v>0.22299806979933964</v>
      </c>
      <c r="R103" s="178">
        <f t="shared" si="41"/>
        <v>0.99428571428571422</v>
      </c>
    </row>
    <row r="104" spans="3:18" x14ac:dyDescent="0.2">
      <c r="C104" s="175">
        <v>98</v>
      </c>
      <c r="D104" s="5">
        <f t="shared" si="50"/>
        <v>26.303999999999998</v>
      </c>
      <c r="E104" s="453">
        <f t="shared" si="29"/>
        <v>24.5</v>
      </c>
      <c r="F104" s="222">
        <f t="shared" si="30"/>
        <v>0.48224549248090698</v>
      </c>
      <c r="G104" s="177">
        <f t="shared" si="44"/>
        <v>8.7367837178174916</v>
      </c>
      <c r="H104" s="222">
        <f t="shared" si="45"/>
        <v>0.72806530981812434</v>
      </c>
      <c r="I104" s="453">
        <f t="shared" si="33"/>
        <v>50.804000000000002</v>
      </c>
      <c r="J104" s="177">
        <f t="shared" si="34"/>
        <v>0.79663182983527669</v>
      </c>
      <c r="K104" s="177">
        <f t="shared" si="46"/>
        <v>2.5439885076856465</v>
      </c>
      <c r="L104" s="177">
        <f t="shared" si="36"/>
        <v>2.7313091308638056</v>
      </c>
      <c r="M104" s="453">
        <f t="shared" si="43"/>
        <v>189.562763756202</v>
      </c>
      <c r="N104" s="202">
        <f t="shared" si="37"/>
        <v>350</v>
      </c>
      <c r="O104" s="222">
        <f t="shared" si="47"/>
        <v>0.4314620895992442</v>
      </c>
      <c r="P104" s="178">
        <f t="shared" si="48"/>
        <v>1.4792985929116942</v>
      </c>
      <c r="Q104" s="178">
        <f t="shared" si="49"/>
        <v>0.22339144171361544</v>
      </c>
      <c r="R104" s="178">
        <f t="shared" si="41"/>
        <v>0.99428571428571422</v>
      </c>
    </row>
    <row r="105" spans="3:18" x14ac:dyDescent="0.2">
      <c r="C105" s="175">
        <v>99</v>
      </c>
      <c r="D105" s="5">
        <f t="shared" si="50"/>
        <v>26.351999999999997</v>
      </c>
      <c r="E105" s="453">
        <f t="shared" si="29"/>
        <v>24.5</v>
      </c>
      <c r="F105" s="222">
        <f t="shared" si="30"/>
        <v>0.48179029340045626</v>
      </c>
      <c r="G105" s="177">
        <f t="shared" si="44"/>
        <v>8.7444649178006753</v>
      </c>
      <c r="H105" s="222">
        <f t="shared" si="45"/>
        <v>0.72870540981672294</v>
      </c>
      <c r="I105" s="453">
        <f t="shared" si="33"/>
        <v>50.851999999999997</v>
      </c>
      <c r="J105" s="177">
        <f t="shared" si="34"/>
        <v>0.79593206278772677</v>
      </c>
      <c r="K105" s="177">
        <f t="shared" si="46"/>
        <v>2.5371240617095117</v>
      </c>
      <c r="L105" s="177">
        <f t="shared" si="36"/>
        <v>2.7289099295579202</v>
      </c>
      <c r="M105" s="453">
        <f t="shared" si="43"/>
        <v>189.8962296214346</v>
      </c>
      <c r="N105" s="202">
        <f t="shared" si="37"/>
        <v>350</v>
      </c>
      <c r="O105" s="222">
        <f t="shared" si="47"/>
        <v>0.4318414221662864</v>
      </c>
      <c r="P105" s="178">
        <f t="shared" si="48"/>
        <v>1.4805991617129821</v>
      </c>
      <c r="Q105" s="178">
        <f t="shared" si="49"/>
        <v>0.22378441667832097</v>
      </c>
      <c r="R105" s="178">
        <f t="shared" si="41"/>
        <v>0.99428571428571422</v>
      </c>
    </row>
    <row r="106" spans="3:18" x14ac:dyDescent="0.2">
      <c r="C106" s="175">
        <v>100</v>
      </c>
      <c r="D106" s="5">
        <f t="shared" si="50"/>
        <v>26.4</v>
      </c>
      <c r="E106" s="453">
        <f t="shared" si="29"/>
        <v>24.5</v>
      </c>
      <c r="F106" s="222">
        <f t="shared" si="30"/>
        <v>0.48133595284872299</v>
      </c>
      <c r="G106" s="177">
        <f t="shared" si="44"/>
        <v>8.7521316306483303</v>
      </c>
      <c r="H106" s="222">
        <f t="shared" si="45"/>
        <v>0.72934430255402749</v>
      </c>
      <c r="I106" s="453">
        <f t="shared" si="33"/>
        <v>50.9</v>
      </c>
      <c r="J106" s="177">
        <f t="shared" si="34"/>
        <v>0.79523484034762248</v>
      </c>
      <c r="K106" s="177">
        <f t="shared" si="46"/>
        <v>2.530292673833344</v>
      </c>
      <c r="L106" s="177">
        <f t="shared" si="36"/>
        <v>2.7265194526204199</v>
      </c>
      <c r="M106" s="453">
        <f t="shared" si="43"/>
        <v>190.22935877196704</v>
      </c>
      <c r="N106" s="202">
        <f t="shared" si="37"/>
        <v>350</v>
      </c>
      <c r="O106" s="222">
        <f t="shared" si="47"/>
        <v>0.4322200392927309</v>
      </c>
      <c r="P106" s="178">
        <f t="shared" si="48"/>
        <v>1.4818972775750774</v>
      </c>
      <c r="Q106" s="178">
        <f t="shared" si="49"/>
        <v>0.22417699483945183</v>
      </c>
      <c r="R106" s="178">
        <f t="shared" si="41"/>
        <v>0.99428571428571422</v>
      </c>
    </row>
  </sheetData>
  <mergeCells count="1">
    <mergeCell ref="F4:O4"/>
  </mergeCells>
  <phoneticPr fontId="82"/>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C133"/>
  <sheetViews>
    <sheetView showWhiteSpace="0" zoomScaleNormal="100" workbookViewId="0">
      <pane ySplit="5" topLeftCell="A12" activePane="bottomLeft" state="frozen"/>
      <selection pane="bottomLeft" activeCell="B22" sqref="B22"/>
    </sheetView>
  </sheetViews>
  <sheetFormatPr defaultColWidth="9.140625" defaultRowHeight="12.75" x14ac:dyDescent="0.2"/>
  <cols>
    <col min="1" max="1" width="15.7109375" style="175" customWidth="1"/>
    <col min="2" max="2" width="11.5703125" style="175" customWidth="1"/>
    <col min="3" max="3" width="9.140625" style="175"/>
    <col min="4" max="4" width="12.42578125" style="175" bestFit="1" customWidth="1"/>
    <col min="5" max="5" width="51.42578125" style="175" customWidth="1"/>
    <col min="6" max="6" width="13.42578125" style="175" customWidth="1"/>
    <col min="7" max="7" width="10" style="175" customWidth="1"/>
    <col min="8" max="8" width="6.85546875" style="175" customWidth="1"/>
    <col min="9" max="9" width="12.42578125" style="175" bestFit="1" customWidth="1"/>
    <col min="10" max="10" width="9.140625" style="221" customWidth="1"/>
    <col min="11" max="11" width="8.85546875"/>
    <col min="13" max="13" width="10.85546875" customWidth="1"/>
    <col min="14" max="14" width="12" style="175" customWidth="1"/>
    <col min="15" max="15" width="12.7109375" style="221" customWidth="1"/>
    <col min="16" max="16" width="11.42578125" style="221" customWidth="1"/>
    <col min="17" max="17" width="12.42578125" style="221" customWidth="1"/>
    <col min="18" max="19" width="10.5703125" style="202" customWidth="1"/>
    <col min="20" max="20" width="10" style="202" customWidth="1"/>
    <col min="21" max="21" width="10.5703125" style="202" customWidth="1"/>
    <col min="22" max="22" width="8.42578125" style="221" customWidth="1"/>
    <col min="23" max="23" width="9.28515625" style="221" customWidth="1"/>
    <col min="24" max="24" width="9.42578125" style="175" customWidth="1"/>
    <col min="25" max="25" width="9.42578125" style="221" customWidth="1"/>
    <col min="26" max="26" width="8.28515625" style="222" customWidth="1"/>
    <col min="27" max="27" width="9.5703125" style="221" customWidth="1"/>
    <col min="28" max="28" width="9.42578125" style="221" bestFit="1" customWidth="1"/>
    <col min="29" max="29" width="8.5703125" style="221" customWidth="1"/>
    <col min="30" max="30" width="9.7109375" style="223" customWidth="1"/>
    <col min="31" max="31" width="9.140625" style="223" customWidth="1"/>
    <col min="32" max="32" width="8.140625" style="221" customWidth="1"/>
    <col min="33" max="33" width="10.28515625" style="221" customWidth="1"/>
    <col min="34" max="34" width="9.42578125" style="221" customWidth="1"/>
    <col min="35" max="35" width="8.85546875"/>
    <col min="36" max="36" width="9.7109375" style="221" customWidth="1"/>
    <col min="37" max="37" width="11.5703125" style="221" customWidth="1"/>
    <col min="38" max="38" width="10.140625" style="221" customWidth="1"/>
    <col min="39" max="39" width="11.140625" style="221" customWidth="1"/>
    <col min="40" max="40" width="9.140625" style="221"/>
    <col min="41" max="41" width="10.28515625" style="221" customWidth="1"/>
    <col min="42" max="42" width="9.85546875" style="221" customWidth="1"/>
    <col min="43" max="43" width="9.7109375" style="221" customWidth="1"/>
    <col min="44" max="44" width="10.28515625" style="221" customWidth="1"/>
    <col min="45" max="45" width="10.140625" style="221" customWidth="1"/>
    <col min="46" max="46" width="10.42578125" style="221" customWidth="1"/>
    <col min="47" max="47" width="11.28515625" style="221" customWidth="1"/>
    <col min="48" max="48" width="11.7109375" style="221" customWidth="1"/>
    <col min="49" max="49" width="10.42578125" style="221" customWidth="1"/>
    <col min="50" max="50" width="11.42578125" style="221" customWidth="1"/>
    <col min="51" max="51" width="10.140625" style="221" customWidth="1"/>
    <col min="52" max="52" width="10" style="177" bestFit="1" customWidth="1"/>
    <col min="53" max="55" width="12.7109375" style="350" customWidth="1"/>
    <col min="56" max="56" width="14" style="350" customWidth="1"/>
    <col min="57" max="57" width="12.85546875" style="350" customWidth="1"/>
    <col min="58" max="58" width="10.42578125" style="350" customWidth="1"/>
    <col min="59" max="59" width="9" style="350" customWidth="1"/>
    <col min="60" max="60" width="8.85546875" style="350" customWidth="1"/>
    <col min="61" max="61" width="10.85546875" style="350" customWidth="1"/>
    <col min="62" max="62" width="11.140625" style="350" customWidth="1"/>
    <col min="63" max="64" width="9.140625" style="350"/>
    <col min="65" max="65" width="8.85546875" style="177" customWidth="1"/>
    <col min="66" max="66" width="9.140625" style="222"/>
    <col min="67" max="67" width="12.5703125" style="175" customWidth="1"/>
    <col min="68" max="68" width="13.5703125" style="177" customWidth="1"/>
    <col min="69" max="69" width="12.7109375" style="202" customWidth="1"/>
    <col min="70" max="70" width="3.7109375" style="175" customWidth="1"/>
    <col min="71" max="71" width="12.42578125" style="175" bestFit="1" customWidth="1"/>
    <col min="72" max="72" width="3.5703125" style="175" customWidth="1"/>
    <col min="73" max="73" width="9.140625" style="177"/>
    <col min="74" max="74" width="11.140625" style="177" customWidth="1"/>
    <col min="75" max="75" width="9.140625" style="177"/>
    <col min="76" max="76" width="4.7109375" style="175" customWidth="1"/>
    <col min="77" max="77" width="3.7109375" style="175" customWidth="1"/>
    <col min="78" max="78" width="12.42578125" style="175" customWidth="1"/>
    <col min="79" max="79" width="11.85546875" style="175" customWidth="1"/>
    <col min="80" max="80" width="11.5703125" style="175" customWidth="1"/>
    <col min="81" max="81" width="11.7109375" style="175" customWidth="1"/>
    <col min="82" max="82" width="9.140625" style="175"/>
    <col min="83" max="83" width="9.140625" style="175" customWidth="1"/>
    <col min="84" max="16384" width="9.140625" style="175"/>
  </cols>
  <sheetData>
    <row r="1" spans="1:81" x14ac:dyDescent="0.2">
      <c r="A1" s="693" t="s">
        <v>519</v>
      </c>
      <c r="B1" s="693"/>
      <c r="C1" s="693"/>
      <c r="D1" s="693"/>
      <c r="E1" s="693"/>
    </row>
    <row r="2" spans="1:81" ht="15.75" x14ac:dyDescent="0.2">
      <c r="A2" s="693"/>
      <c r="B2" s="693"/>
      <c r="C2" s="693"/>
      <c r="D2" s="693"/>
      <c r="E2" s="693"/>
      <c r="G2" s="694" t="s">
        <v>22</v>
      </c>
      <c r="H2" s="694"/>
      <c r="AF2" s="221">
        <v>1.9257738538542499E-2</v>
      </c>
      <c r="AG2" s="221">
        <v>7.417209872377299E-4</v>
      </c>
      <c r="AH2" s="221">
        <v>1.2403450565440797E-3</v>
      </c>
      <c r="AI2">
        <v>20</v>
      </c>
      <c r="AJ2" s="221">
        <v>7.1523178807947021</v>
      </c>
      <c r="AK2" s="221">
        <v>0</v>
      </c>
      <c r="AL2" s="221">
        <v>8.3629954314142624E-4</v>
      </c>
      <c r="AM2" s="221">
        <v>1.5780205303791562E-3</v>
      </c>
      <c r="AO2" s="273" t="e">
        <f>Ifb</f>
        <v>#NAME?</v>
      </c>
    </row>
    <row r="3" spans="1:81" ht="13.5" thickBot="1" x14ac:dyDescent="0.25">
      <c r="A3" s="693"/>
      <c r="B3" s="693"/>
      <c r="C3" s="693"/>
      <c r="D3" s="693"/>
      <c r="E3" s="693"/>
    </row>
    <row r="4" spans="1:81" ht="13.5" thickBot="1" x14ac:dyDescent="0.25">
      <c r="A4" s="695"/>
      <c r="B4" s="695"/>
      <c r="C4" s="695"/>
      <c r="D4" s="695"/>
      <c r="E4" s="695"/>
      <c r="H4" s="225" t="s">
        <v>23</v>
      </c>
      <c r="I4" s="226"/>
      <c r="J4" s="227"/>
      <c r="K4" s="696" t="s">
        <v>190</v>
      </c>
      <c r="L4" s="689"/>
      <c r="M4" s="690"/>
      <c r="N4" s="690"/>
      <c r="O4" s="690"/>
      <c r="P4" s="689"/>
      <c r="Q4" s="689"/>
      <c r="R4" s="690"/>
      <c r="S4" s="690"/>
      <c r="T4" s="690"/>
      <c r="U4" s="692"/>
      <c r="V4" s="228" t="s">
        <v>191</v>
      </c>
      <c r="W4" s="229"/>
      <c r="X4" s="230"/>
      <c r="Y4" s="231"/>
      <c r="Z4" s="232" t="s">
        <v>14</v>
      </c>
      <c r="AA4" s="233"/>
      <c r="AB4" s="227"/>
      <c r="AC4" s="234" t="s">
        <v>28</v>
      </c>
      <c r="AD4" s="235"/>
      <c r="AE4" s="236"/>
      <c r="AF4" s="228" t="s">
        <v>192</v>
      </c>
      <c r="AG4" s="229"/>
      <c r="AH4" s="229"/>
      <c r="AI4" s="452"/>
      <c r="AJ4" s="452"/>
      <c r="AK4" s="229"/>
      <c r="AL4" s="229"/>
      <c r="AM4" s="227"/>
      <c r="AN4" s="237" t="s">
        <v>193</v>
      </c>
      <c r="AO4" s="238"/>
      <c r="AP4" s="238"/>
      <c r="AQ4" s="461" t="s">
        <v>194</v>
      </c>
      <c r="AR4" s="462"/>
      <c r="AS4" s="462"/>
      <c r="AT4" s="238"/>
      <c r="AU4" s="239"/>
      <c r="AV4" s="240"/>
      <c r="AW4" s="241"/>
      <c r="AX4" s="228" t="s">
        <v>180</v>
      </c>
      <c r="AY4" s="229"/>
      <c r="AZ4" s="230"/>
      <c r="BA4" s="351"/>
      <c r="BB4" s="351"/>
      <c r="BC4" s="351"/>
      <c r="BD4" s="351"/>
      <c r="BE4" s="351"/>
      <c r="BF4" s="351"/>
      <c r="BG4" s="351"/>
      <c r="BH4" s="351"/>
      <c r="BI4" s="351"/>
      <c r="BJ4" s="351"/>
      <c r="BK4" s="351"/>
      <c r="BL4" s="351"/>
      <c r="BM4" s="344"/>
      <c r="BN4" s="348"/>
      <c r="BO4" s="230"/>
      <c r="BP4" s="346"/>
      <c r="BQ4" s="458"/>
      <c r="BR4" s="459"/>
      <c r="BS4" s="459"/>
      <c r="BT4" s="459"/>
      <c r="BU4" s="459"/>
      <c r="BV4" s="459"/>
      <c r="BW4" s="459"/>
      <c r="BX4" s="459"/>
      <c r="BY4" s="459"/>
      <c r="BZ4" s="459"/>
      <c r="CA4" s="459"/>
      <c r="CB4" s="459"/>
      <c r="CC4" s="460"/>
    </row>
    <row r="5" spans="1:81" ht="78" customHeight="1" thickBot="1" x14ac:dyDescent="0.45">
      <c r="A5" s="242" t="s">
        <v>42</v>
      </c>
      <c r="B5" s="243"/>
      <c r="C5" s="243"/>
      <c r="D5" s="244"/>
      <c r="E5" s="245"/>
      <c r="F5" s="194"/>
      <c r="G5" s="194"/>
      <c r="H5" s="246" t="s">
        <v>25</v>
      </c>
      <c r="I5" s="247" t="s">
        <v>195</v>
      </c>
      <c r="J5" s="248" t="s">
        <v>196</v>
      </c>
      <c r="K5" s="256" t="s">
        <v>326</v>
      </c>
      <c r="L5" s="249" t="s">
        <v>48</v>
      </c>
      <c r="M5" s="249" t="s">
        <v>327</v>
      </c>
      <c r="N5" s="454" t="s">
        <v>197</v>
      </c>
      <c r="O5" s="542" t="s">
        <v>415</v>
      </c>
      <c r="P5" s="542" t="s">
        <v>416</v>
      </c>
      <c r="Q5" s="542" t="s">
        <v>417</v>
      </c>
      <c r="R5" s="250" t="s">
        <v>198</v>
      </c>
      <c r="S5" s="251" t="s">
        <v>199</v>
      </c>
      <c r="T5" s="251" t="s">
        <v>200</v>
      </c>
      <c r="U5" s="250" t="s">
        <v>331</v>
      </c>
      <c r="V5" s="252" t="s">
        <v>201</v>
      </c>
      <c r="W5" s="249" t="s">
        <v>202</v>
      </c>
      <c r="X5" s="247" t="s">
        <v>203</v>
      </c>
      <c r="Y5" s="248" t="s">
        <v>204</v>
      </c>
      <c r="Z5" s="253" t="s">
        <v>201</v>
      </c>
      <c r="AA5" s="249" t="s">
        <v>205</v>
      </c>
      <c r="AB5" s="248" t="s">
        <v>206</v>
      </c>
      <c r="AC5" s="252" t="s">
        <v>201</v>
      </c>
      <c r="AD5" s="254" t="s">
        <v>207</v>
      </c>
      <c r="AE5" s="255" t="s">
        <v>208</v>
      </c>
      <c r="AF5" s="252" t="s">
        <v>201</v>
      </c>
      <c r="AG5" s="249" t="s">
        <v>209</v>
      </c>
      <c r="AH5" s="249" t="s">
        <v>210</v>
      </c>
      <c r="AI5" s="249" t="s">
        <v>328</v>
      </c>
      <c r="AJ5" s="249" t="s">
        <v>325</v>
      </c>
      <c r="AK5" s="249" t="s">
        <v>211</v>
      </c>
      <c r="AL5" s="256" t="s">
        <v>212</v>
      </c>
      <c r="AM5" s="248" t="s">
        <v>213</v>
      </c>
      <c r="AN5" s="257" t="s">
        <v>201</v>
      </c>
      <c r="AO5" s="258" t="s">
        <v>214</v>
      </c>
      <c r="AP5" s="258" t="s">
        <v>215</v>
      </c>
      <c r="AQ5" s="258" t="s">
        <v>216</v>
      </c>
      <c r="AR5" s="258" t="s">
        <v>217</v>
      </c>
      <c r="AS5" s="259" t="s">
        <v>218</v>
      </c>
      <c r="AT5" s="257" t="s">
        <v>219</v>
      </c>
      <c r="AU5" s="257" t="s">
        <v>220</v>
      </c>
      <c r="AV5" s="257" t="s">
        <v>221</v>
      </c>
      <c r="AW5" s="260" t="s">
        <v>222</v>
      </c>
      <c r="AX5" s="252" t="s">
        <v>223</v>
      </c>
      <c r="AY5" s="249" t="s">
        <v>224</v>
      </c>
      <c r="AZ5" s="261" t="s">
        <v>225</v>
      </c>
      <c r="BA5" s="352" t="s">
        <v>226</v>
      </c>
      <c r="BB5" s="352" t="s">
        <v>227</v>
      </c>
      <c r="BC5" s="352" t="s">
        <v>228</v>
      </c>
      <c r="BD5" s="352" t="s">
        <v>229</v>
      </c>
      <c r="BE5" s="352" t="s">
        <v>230</v>
      </c>
      <c r="BF5" s="352" t="s">
        <v>231</v>
      </c>
      <c r="BG5" s="352" t="s">
        <v>232</v>
      </c>
      <c r="BH5" s="353" t="s">
        <v>233</v>
      </c>
      <c r="BI5" s="354" t="s">
        <v>234</v>
      </c>
      <c r="BJ5" s="355" t="s">
        <v>235</v>
      </c>
      <c r="BK5" s="356" t="s">
        <v>236</v>
      </c>
      <c r="BL5" s="355" t="s">
        <v>282</v>
      </c>
      <c r="BM5" s="345" t="s">
        <v>237</v>
      </c>
      <c r="BN5" s="349" t="s">
        <v>238</v>
      </c>
      <c r="BO5" s="262" t="s">
        <v>239</v>
      </c>
      <c r="BP5" s="347" t="s">
        <v>239</v>
      </c>
      <c r="BQ5" s="263" t="s">
        <v>240</v>
      </c>
      <c r="BR5" s="264"/>
      <c r="BS5" s="265" t="s">
        <v>241</v>
      </c>
      <c r="BT5" s="264"/>
      <c r="BU5" s="359" t="s">
        <v>284</v>
      </c>
      <c r="BV5" s="360" t="s">
        <v>285</v>
      </c>
      <c r="BW5" s="457" t="s">
        <v>283</v>
      </c>
      <c r="BX5" s="264"/>
      <c r="BY5" s="264"/>
      <c r="BZ5" s="456" t="s">
        <v>290</v>
      </c>
      <c r="CA5" s="260" t="s">
        <v>344</v>
      </c>
      <c r="CB5" s="360" t="s">
        <v>292</v>
      </c>
      <c r="CC5" s="457" t="s">
        <v>291</v>
      </c>
    </row>
    <row r="6" spans="1:81" x14ac:dyDescent="0.2">
      <c r="A6" s="266" t="s">
        <v>26</v>
      </c>
      <c r="B6" s="267" t="s">
        <v>43</v>
      </c>
      <c r="C6" s="268" t="s">
        <v>33</v>
      </c>
      <c r="D6" s="269" t="s">
        <v>90</v>
      </c>
      <c r="E6" s="270" t="s">
        <v>41</v>
      </c>
      <c r="F6" s="271"/>
      <c r="G6" s="271"/>
      <c r="H6" s="175">
        <v>0.1</v>
      </c>
      <c r="I6" s="467">
        <f t="shared" ref="I6:I37" si="0">IF(PLOT_TYPE=1, H6/100*Iout_max, min_I*EXP(H6*rr/100))</f>
        <v>4.0000000000000002E-4</v>
      </c>
      <c r="J6" s="222"/>
      <c r="K6" s="222"/>
      <c r="L6" s="222"/>
      <c r="M6" s="222"/>
      <c r="N6" s="272"/>
      <c r="O6" s="177"/>
      <c r="P6" s="222"/>
      <c r="Q6" s="453"/>
      <c r="S6" s="273"/>
      <c r="T6" s="273"/>
      <c r="U6" s="273"/>
      <c r="AJ6" s="453"/>
      <c r="AY6" s="221">
        <f>Vout*I6</f>
        <v>4.8000000000000004E-3</v>
      </c>
      <c r="AZ6" s="274">
        <f>AY6/(AY6+AX6)</f>
        <v>1</v>
      </c>
      <c r="BA6" s="350">
        <f t="shared" ref="BA6:BA9" si="1">AG6/($AY6+$AX6)</f>
        <v>0</v>
      </c>
      <c r="BB6" s="350">
        <f>AO6/($AY6+$AX6)</f>
        <v>0</v>
      </c>
      <c r="BC6" s="350" t="e">
        <f t="shared" ref="BC6:BC9" si="2">Vin*R6*(QgBot+Qg)/($AY6+$AX6)</f>
        <v>#NAME?</v>
      </c>
      <c r="BD6" s="350">
        <f t="shared" ref="BD6:BD9" si="3">AK6/($AY6+$AX6)</f>
        <v>0</v>
      </c>
      <c r="BE6" s="350">
        <f t="shared" ref="BE6:BE9" si="4">AQ6/(AX6+AY6)</f>
        <v>0</v>
      </c>
      <c r="BF6" s="350">
        <f t="shared" ref="BF6:BF9" si="5">AR6/($AY6+$AX6)</f>
        <v>0</v>
      </c>
      <c r="BG6" s="350">
        <f t="shared" ref="BG6:BG9" si="6">W6/($AY6+$AX6)</f>
        <v>0</v>
      </c>
      <c r="BH6" s="350">
        <f t="shared" ref="BH6:BH9" si="7">X6/($AY6+$AX6)</f>
        <v>0</v>
      </c>
      <c r="BI6" s="350">
        <f t="shared" ref="BI6:BI9" si="8">(AB6+AE6)/($AY6+$AX6)</f>
        <v>0</v>
      </c>
      <c r="BJ6" s="224">
        <f>AT6/($AY6+$AX6)</f>
        <v>0</v>
      </c>
      <c r="BK6" s="224">
        <f>AX6/($AY6+$AX6)</f>
        <v>0</v>
      </c>
      <c r="BL6" s="224">
        <f>AZ6</f>
        <v>1</v>
      </c>
      <c r="BM6" s="177">
        <f>100*BL6</f>
        <v>100</v>
      </c>
      <c r="BN6" s="222">
        <f xml:space="preserve"> CHOOSE(MODE, I6*1000,#REF!)</f>
        <v>0.4</v>
      </c>
      <c r="BO6" s="177">
        <v>59.702372085750142</v>
      </c>
      <c r="BP6" s="224">
        <f>BO6/100</f>
        <v>0.59702372085750144</v>
      </c>
      <c r="BQ6" s="275">
        <f t="shared" ref="BQ6:BQ9" si="9">R6/1000</f>
        <v>0</v>
      </c>
      <c r="BR6" s="276"/>
      <c r="BS6" s="224">
        <f>AL6/($AY6+$AX6)</f>
        <v>0</v>
      </c>
      <c r="BT6" s="277"/>
      <c r="BU6" s="177">
        <f>1000*AW6</f>
        <v>0</v>
      </c>
      <c r="BV6" s="177">
        <f>1000*AU6</f>
        <v>0</v>
      </c>
      <c r="BW6" s="177">
        <f t="shared" ref="BW6:BW9" si="10">1000*Y6</f>
        <v>0</v>
      </c>
      <c r="BX6" s="224"/>
      <c r="BY6" s="224"/>
      <c r="BZ6" s="177">
        <f xml:space="preserve"> IF(MODE=1, BM6,#REF!)</f>
        <v>100</v>
      </c>
      <c r="CA6" s="177">
        <f xml:space="preserve"> IF(MODE=1, BU6,#REF!)</f>
        <v>0</v>
      </c>
      <c r="CB6" s="177">
        <f xml:space="preserve"> IF(MODE=1, BV6,#REF!)</f>
        <v>0</v>
      </c>
      <c r="CC6" s="177">
        <f xml:space="preserve"> IF(MODE=1, BW6,#REF!)</f>
        <v>0</v>
      </c>
    </row>
    <row r="7" spans="1:81" x14ac:dyDescent="0.2">
      <c r="A7" s="424"/>
      <c r="B7" s="267"/>
      <c r="C7" s="268"/>
      <c r="D7" s="269"/>
      <c r="E7" s="270"/>
      <c r="F7" s="271"/>
      <c r="G7" s="271"/>
      <c r="H7" s="175">
        <v>1</v>
      </c>
      <c r="I7" s="467">
        <f t="shared" si="0"/>
        <v>4.0000000000000001E-3</v>
      </c>
      <c r="J7" s="222"/>
      <c r="K7" s="222"/>
      <c r="L7" s="222"/>
      <c r="M7" s="222"/>
      <c r="N7" s="272"/>
      <c r="O7" s="177"/>
      <c r="P7" s="222"/>
      <c r="Q7" s="453"/>
      <c r="S7" s="273"/>
      <c r="T7" s="273"/>
      <c r="U7" s="273"/>
      <c r="AJ7" s="453"/>
      <c r="AY7" s="221">
        <f>Vout*I7</f>
        <v>4.8000000000000001E-2</v>
      </c>
      <c r="AZ7" s="274">
        <f>AY7/(AY7+AX7)</f>
        <v>1</v>
      </c>
      <c r="BA7" s="350">
        <f t="shared" si="1"/>
        <v>0</v>
      </c>
      <c r="BB7" s="350">
        <f>AO7/($AY7+$AX7)</f>
        <v>0</v>
      </c>
      <c r="BC7" s="350" t="e">
        <f t="shared" si="2"/>
        <v>#NAME?</v>
      </c>
      <c r="BD7" s="350">
        <f t="shared" ref="BD7" si="11">AK7/($AY7+$AX7)</f>
        <v>0</v>
      </c>
      <c r="BE7" s="350">
        <f t="shared" ref="BE7" si="12">AQ7/(AX7+AY7)</f>
        <v>0</v>
      </c>
      <c r="BF7" s="350">
        <f t="shared" ref="BF7" si="13">AR7/($AY7+$AX7)</f>
        <v>0</v>
      </c>
      <c r="BG7" s="350">
        <f t="shared" si="6"/>
        <v>0</v>
      </c>
      <c r="BH7" s="350">
        <f t="shared" si="7"/>
        <v>0</v>
      </c>
      <c r="BI7" s="350">
        <f t="shared" si="8"/>
        <v>0</v>
      </c>
      <c r="BJ7" s="224">
        <f>AT7/($AY7+$AX7)</f>
        <v>0</v>
      </c>
      <c r="BK7" s="224">
        <f t="shared" ref="BK7:BK9" si="14">AX7/($AY7+$AX7)</f>
        <v>0</v>
      </c>
      <c r="BL7" s="224">
        <f>AZ7</f>
        <v>1</v>
      </c>
      <c r="BM7" s="177">
        <f>100*BL7</f>
        <v>100</v>
      </c>
      <c r="BN7" s="222">
        <f xml:space="preserve"> CHOOSE(MODE, I7*1000,#REF!)</f>
        <v>4</v>
      </c>
      <c r="BO7" s="177">
        <v>83.682599061581868</v>
      </c>
      <c r="BP7" s="224">
        <f t="shared" ref="BP7:BP9" si="15">BO7/100</f>
        <v>0.83682599061581864</v>
      </c>
      <c r="BQ7" s="275">
        <f t="shared" si="9"/>
        <v>0</v>
      </c>
      <c r="BR7" s="276"/>
      <c r="BS7" s="224">
        <f>AL7/($AY7+$AX7)</f>
        <v>0</v>
      </c>
      <c r="BT7" s="277"/>
      <c r="BU7" s="177">
        <f>1000*AW7</f>
        <v>0</v>
      </c>
      <c r="BV7" s="177">
        <f>1000*AU7</f>
        <v>0</v>
      </c>
      <c r="BW7" s="177">
        <f t="shared" si="10"/>
        <v>0</v>
      </c>
      <c r="BX7" s="224"/>
      <c r="BY7" s="224"/>
      <c r="BZ7" s="177">
        <f xml:space="preserve"> IF(MODE=1, BM7,#REF!)</f>
        <v>100</v>
      </c>
      <c r="CA7" s="177">
        <f xml:space="preserve"> IF(MODE=1, BU7,#REF!)</f>
        <v>0</v>
      </c>
      <c r="CB7" s="177">
        <f xml:space="preserve"> IF(MODE=1, BV7,#REF!)</f>
        <v>0</v>
      </c>
      <c r="CC7" s="177">
        <f xml:space="preserve"> IF(MODE=1, BW7,#REF!)</f>
        <v>0</v>
      </c>
    </row>
    <row r="8" spans="1:81" x14ac:dyDescent="0.2">
      <c r="A8" s="278" t="s">
        <v>3</v>
      </c>
      <c r="B8" s="279">
        <f>Vin</f>
        <v>24</v>
      </c>
      <c r="C8" s="280" t="s">
        <v>0</v>
      </c>
      <c r="D8" s="199">
        <f>B8</f>
        <v>24</v>
      </c>
      <c r="E8" s="193" t="s">
        <v>3</v>
      </c>
      <c r="F8" s="271"/>
      <c r="G8" s="271"/>
      <c r="H8" s="175">
        <v>2</v>
      </c>
      <c r="I8" s="467">
        <f t="shared" si="0"/>
        <v>8.0000000000000002E-3</v>
      </c>
      <c r="J8" s="222"/>
      <c r="K8" s="222"/>
      <c r="L8" s="222"/>
      <c r="M8" s="222"/>
      <c r="N8" s="272"/>
      <c r="O8" s="177"/>
      <c r="P8" s="222"/>
      <c r="Q8" s="453"/>
      <c r="S8" s="273"/>
      <c r="T8" s="273"/>
      <c r="U8" s="273"/>
      <c r="AJ8" s="453"/>
      <c r="AY8" s="221">
        <f>Vout*I8</f>
        <v>9.6000000000000002E-2</v>
      </c>
      <c r="AZ8" s="274">
        <f>AY8/(AY8+AX8)</f>
        <v>1</v>
      </c>
      <c r="BA8" s="350">
        <f t="shared" si="1"/>
        <v>0</v>
      </c>
      <c r="BB8" s="350">
        <f t="shared" ref="BB8:BB9" si="16">AO8/($AY8+$AX8)</f>
        <v>0</v>
      </c>
      <c r="BC8" s="350" t="e">
        <f t="shared" si="2"/>
        <v>#NAME?</v>
      </c>
      <c r="BD8" s="350">
        <f t="shared" si="3"/>
        <v>0</v>
      </c>
      <c r="BE8" s="350">
        <f t="shared" si="4"/>
        <v>0</v>
      </c>
      <c r="BF8" s="350">
        <f t="shared" si="5"/>
        <v>0</v>
      </c>
      <c r="BG8" s="350">
        <f t="shared" si="6"/>
        <v>0</v>
      </c>
      <c r="BH8" s="350">
        <f t="shared" si="7"/>
        <v>0</v>
      </c>
      <c r="BI8" s="350">
        <f t="shared" si="8"/>
        <v>0</v>
      </c>
      <c r="BJ8" s="224">
        <f t="shared" ref="BJ8:BJ9" si="17">AT8/($AY8+$AX8)</f>
        <v>0</v>
      </c>
      <c r="BK8" s="224">
        <f t="shared" si="14"/>
        <v>0</v>
      </c>
      <c r="BL8" s="224">
        <f t="shared" ref="BL8:BL9" si="18">AZ8</f>
        <v>1</v>
      </c>
      <c r="BM8" s="177">
        <f t="shared" ref="BM8:BM9" si="19">100*BL8</f>
        <v>100</v>
      </c>
      <c r="BN8" s="222">
        <f xml:space="preserve"> CHOOSE(MODE, I8*1000,#REF!)</f>
        <v>8</v>
      </c>
      <c r="BO8" s="177">
        <v>85.591306536493136</v>
      </c>
      <c r="BP8" s="224">
        <f t="shared" si="15"/>
        <v>0.85591306536493139</v>
      </c>
      <c r="BQ8" s="275">
        <f t="shared" si="9"/>
        <v>0</v>
      </c>
      <c r="BR8" s="276"/>
      <c r="BS8" s="224">
        <f t="shared" ref="BS8:BS9" si="20">AL8/($AY8+$AX8)</f>
        <v>0</v>
      </c>
      <c r="BT8" s="277"/>
      <c r="BU8" s="177">
        <f t="shared" ref="BU8:BU9" si="21">1000*AW8</f>
        <v>0</v>
      </c>
      <c r="BV8" s="177">
        <f t="shared" ref="BV8:BV9" si="22">1000*AU8</f>
        <v>0</v>
      </c>
      <c r="BW8" s="177">
        <f t="shared" si="10"/>
        <v>0</v>
      </c>
      <c r="BX8" s="224"/>
      <c r="BY8" s="224"/>
      <c r="BZ8" s="177">
        <f xml:space="preserve"> IF(MODE=1, BM8,#REF!)</f>
        <v>100</v>
      </c>
      <c r="CA8" s="177">
        <f xml:space="preserve"> IF(MODE=1, BU8,#REF!)</f>
        <v>0</v>
      </c>
      <c r="CB8" s="177">
        <f xml:space="preserve"> IF(MODE=1, BV8,#REF!)</f>
        <v>0</v>
      </c>
      <c r="CC8" s="177">
        <f xml:space="preserve"> IF(MODE=1, BW8,#REF!)</f>
        <v>0</v>
      </c>
    </row>
    <row r="9" spans="1:81" x14ac:dyDescent="0.2">
      <c r="A9" s="281" t="s">
        <v>4</v>
      </c>
      <c r="B9" s="279">
        <f>Vout</f>
        <v>12</v>
      </c>
      <c r="C9" s="280" t="s">
        <v>0</v>
      </c>
      <c r="D9" s="199">
        <f>B9</f>
        <v>12</v>
      </c>
      <c r="E9" s="193" t="s">
        <v>4</v>
      </c>
      <c r="F9" s="271"/>
      <c r="G9" s="271"/>
      <c r="H9" s="175">
        <v>3</v>
      </c>
      <c r="I9" s="467">
        <f t="shared" si="0"/>
        <v>1.2E-2</v>
      </c>
      <c r="J9" s="222"/>
      <c r="K9" s="222"/>
      <c r="L9" s="222"/>
      <c r="M9" s="222"/>
      <c r="N9" s="272"/>
      <c r="O9" s="177"/>
      <c r="P9" s="222"/>
      <c r="Q9" s="453"/>
      <c r="S9" s="273"/>
      <c r="T9" s="273"/>
      <c r="U9" s="273"/>
      <c r="AJ9" s="453"/>
      <c r="AY9" s="221">
        <f>Vout*I9</f>
        <v>0.14400000000000002</v>
      </c>
      <c r="AZ9" s="274">
        <f t="shared" ref="AZ9" si="23">AY9/(AY9+AX9)</f>
        <v>1</v>
      </c>
      <c r="BA9" s="350">
        <f t="shared" si="1"/>
        <v>0</v>
      </c>
      <c r="BB9" s="350">
        <f t="shared" si="16"/>
        <v>0</v>
      </c>
      <c r="BC9" s="350" t="e">
        <f t="shared" si="2"/>
        <v>#NAME?</v>
      </c>
      <c r="BD9" s="350">
        <f t="shared" si="3"/>
        <v>0</v>
      </c>
      <c r="BE9" s="350">
        <f t="shared" si="4"/>
        <v>0</v>
      </c>
      <c r="BF9" s="350">
        <f t="shared" si="5"/>
        <v>0</v>
      </c>
      <c r="BG9" s="350">
        <f t="shared" si="6"/>
        <v>0</v>
      </c>
      <c r="BH9" s="350">
        <f t="shared" si="7"/>
        <v>0</v>
      </c>
      <c r="BI9" s="350">
        <f t="shared" si="8"/>
        <v>0</v>
      </c>
      <c r="BJ9" s="224">
        <f t="shared" si="17"/>
        <v>0</v>
      </c>
      <c r="BK9" s="224">
        <f t="shared" si="14"/>
        <v>0</v>
      </c>
      <c r="BL9" s="224">
        <f t="shared" si="18"/>
        <v>1</v>
      </c>
      <c r="BM9" s="177">
        <f t="shared" si="19"/>
        <v>100</v>
      </c>
      <c r="BN9" s="222">
        <f xml:space="preserve"> CHOOSE(MODE, I9*1000,#REF!)</f>
        <v>12</v>
      </c>
      <c r="BO9" s="177">
        <v>86.246143423411425</v>
      </c>
      <c r="BP9" s="224">
        <f t="shared" si="15"/>
        <v>0.86246143423411425</v>
      </c>
      <c r="BQ9" s="275">
        <f t="shared" si="9"/>
        <v>0</v>
      </c>
      <c r="BR9" s="276"/>
      <c r="BS9" s="224">
        <f t="shared" si="20"/>
        <v>0</v>
      </c>
      <c r="BT9" s="277"/>
      <c r="BU9" s="177">
        <f t="shared" si="21"/>
        <v>0</v>
      </c>
      <c r="BV9" s="177">
        <f t="shared" si="22"/>
        <v>0</v>
      </c>
      <c r="BW9" s="177">
        <f t="shared" si="10"/>
        <v>0</v>
      </c>
      <c r="BX9" s="224"/>
      <c r="BY9" s="224"/>
      <c r="BZ9" s="177">
        <f xml:space="preserve"> IF(MODE=1, BM9,#REF!)</f>
        <v>100</v>
      </c>
      <c r="CA9" s="177">
        <f xml:space="preserve"> IF(MODE=1, BU9,#REF!)</f>
        <v>0</v>
      </c>
      <c r="CB9" s="177">
        <f xml:space="preserve"> IF(MODE=1, BV9,#REF!)</f>
        <v>0</v>
      </c>
      <c r="CC9" s="177">
        <f xml:space="preserve"> IF(MODE=1, BW9,#REF!)</f>
        <v>0</v>
      </c>
    </row>
    <row r="10" spans="1:81" x14ac:dyDescent="0.2">
      <c r="A10" s="281" t="s">
        <v>5</v>
      </c>
      <c r="B10" s="279">
        <f>Iout</f>
        <v>0.4</v>
      </c>
      <c r="C10" s="280" t="s">
        <v>1</v>
      </c>
      <c r="D10" s="199">
        <f>B10</f>
        <v>0.4</v>
      </c>
      <c r="E10" s="282" t="s">
        <v>242</v>
      </c>
      <c r="F10" s="271"/>
      <c r="G10" s="271"/>
      <c r="H10" s="175">
        <v>4</v>
      </c>
      <c r="I10" s="467">
        <f t="shared" si="0"/>
        <v>1.6E-2</v>
      </c>
      <c r="J10" s="222"/>
      <c r="K10" s="222"/>
      <c r="L10" s="222"/>
      <c r="M10" s="222"/>
      <c r="N10" s="272"/>
      <c r="O10" s="177"/>
      <c r="P10" s="222"/>
      <c r="Q10" s="453"/>
      <c r="S10" s="273"/>
      <c r="T10" s="273"/>
      <c r="U10" s="273"/>
      <c r="AJ10" s="453"/>
      <c r="AZ10" s="274"/>
      <c r="BJ10" s="224"/>
      <c r="BK10" s="224"/>
      <c r="BL10" s="224"/>
      <c r="BO10" s="177"/>
      <c r="BP10" s="224"/>
      <c r="BQ10" s="275"/>
      <c r="BR10" s="276"/>
      <c r="BS10" s="224"/>
      <c r="BT10" s="277"/>
      <c r="BX10" s="224"/>
      <c r="BY10" s="224"/>
      <c r="BZ10" s="177"/>
      <c r="CA10" s="177"/>
      <c r="CB10" s="177"/>
      <c r="CC10" s="177"/>
    </row>
    <row r="11" spans="1:81" x14ac:dyDescent="0.2">
      <c r="A11" s="281" t="s">
        <v>139</v>
      </c>
      <c r="B11" s="362">
        <f>Vout/(Fsw/1000)*100000/16</f>
        <v>375000</v>
      </c>
      <c r="C11" s="283" t="s">
        <v>243</v>
      </c>
      <c r="D11" s="297">
        <f>B11*1000</f>
        <v>375000000</v>
      </c>
      <c r="E11" s="282"/>
      <c r="F11" s="271"/>
      <c r="G11" s="271"/>
      <c r="H11" s="175">
        <v>5</v>
      </c>
      <c r="I11" s="467">
        <f t="shared" si="0"/>
        <v>2.0000000000000004E-2</v>
      </c>
      <c r="J11" s="222"/>
      <c r="K11" s="222"/>
      <c r="L11" s="222"/>
      <c r="M11" s="222"/>
      <c r="N11" s="272"/>
      <c r="O11" s="177"/>
      <c r="P11" s="222"/>
      <c r="Q11" s="453"/>
      <c r="S11" s="273"/>
      <c r="T11" s="273"/>
      <c r="U11" s="273"/>
      <c r="AJ11" s="453"/>
      <c r="AZ11" s="274"/>
      <c r="BJ11" s="224"/>
      <c r="BK11" s="224"/>
      <c r="BL11" s="224"/>
      <c r="BO11" s="177"/>
      <c r="BP11" s="224"/>
      <c r="BQ11" s="275"/>
      <c r="BR11" s="276"/>
      <c r="BS11" s="224"/>
      <c r="BT11" s="277"/>
      <c r="BX11" s="224"/>
      <c r="BY11" s="224"/>
      <c r="BZ11" s="177"/>
      <c r="CA11" s="177"/>
      <c r="CB11" s="177"/>
      <c r="CC11" s="177"/>
    </row>
    <row r="12" spans="1:81" x14ac:dyDescent="0.2">
      <c r="A12" s="281" t="s">
        <v>244</v>
      </c>
      <c r="B12" s="279">
        <v>25</v>
      </c>
      <c r="C12" s="280" t="s">
        <v>102</v>
      </c>
      <c r="D12" s="199">
        <f>B12</f>
        <v>25</v>
      </c>
      <c r="E12" s="282" t="s">
        <v>245</v>
      </c>
      <c r="F12" s="271">
        <f>Turns_Ratio</f>
        <v>4</v>
      </c>
      <c r="H12" s="175">
        <v>6</v>
      </c>
      <c r="I12" s="467">
        <f t="shared" si="0"/>
        <v>2.4E-2</v>
      </c>
      <c r="J12" s="222"/>
      <c r="K12" s="222"/>
      <c r="L12" s="222"/>
      <c r="M12" s="222"/>
      <c r="N12" s="272"/>
      <c r="O12" s="177"/>
      <c r="P12" s="222"/>
      <c r="Q12" s="453"/>
      <c r="S12" s="273"/>
      <c r="T12" s="273"/>
      <c r="U12" s="273"/>
      <c r="AJ12" s="453"/>
      <c r="AZ12" s="274"/>
      <c r="BJ12" s="224"/>
      <c r="BK12" s="224"/>
      <c r="BL12" s="224"/>
      <c r="BO12" s="177"/>
      <c r="BP12" s="224"/>
      <c r="BQ12" s="275"/>
      <c r="BR12" s="276"/>
      <c r="BS12" s="224"/>
      <c r="BT12" s="277"/>
      <c r="BX12" s="224"/>
      <c r="BY12" s="224"/>
      <c r="BZ12" s="177"/>
      <c r="CA12" s="177"/>
      <c r="CB12" s="177"/>
      <c r="CC12" s="177"/>
    </row>
    <row r="13" spans="1:81" x14ac:dyDescent="0.2">
      <c r="A13" s="284" t="s">
        <v>246</v>
      </c>
      <c r="B13" s="285">
        <v>5</v>
      </c>
      <c r="C13" s="280" t="s">
        <v>0</v>
      </c>
      <c r="D13" s="199">
        <f>B13</f>
        <v>5</v>
      </c>
      <c r="E13" s="282"/>
      <c r="F13" s="271"/>
      <c r="G13" s="271"/>
      <c r="H13" s="175">
        <v>7</v>
      </c>
      <c r="I13" s="467">
        <f t="shared" si="0"/>
        <v>2.8000000000000004E-2</v>
      </c>
      <c r="J13" s="222"/>
      <c r="K13" s="222"/>
      <c r="L13" s="222"/>
      <c r="M13" s="222"/>
      <c r="N13" s="272"/>
      <c r="O13" s="177"/>
      <c r="P13" s="222"/>
      <c r="Q13" s="453"/>
      <c r="S13" s="273"/>
      <c r="T13" s="273"/>
      <c r="U13" s="273"/>
      <c r="AJ13" s="453"/>
      <c r="AZ13" s="274"/>
      <c r="BJ13" s="224"/>
      <c r="BK13" s="224"/>
      <c r="BL13" s="224"/>
      <c r="BO13" s="177"/>
      <c r="BP13" s="224"/>
      <c r="BQ13" s="275"/>
      <c r="BR13" s="276"/>
      <c r="BS13" s="224"/>
      <c r="BT13" s="277"/>
      <c r="BX13" s="224"/>
      <c r="BY13" s="224"/>
      <c r="BZ13" s="177"/>
      <c r="CA13" s="177"/>
      <c r="CB13" s="177"/>
      <c r="CC13" s="177"/>
    </row>
    <row r="14" spans="1:81" x14ac:dyDescent="0.2">
      <c r="F14" s="271"/>
      <c r="G14" s="271"/>
      <c r="H14" s="175">
        <v>8</v>
      </c>
      <c r="I14" s="467">
        <f t="shared" si="0"/>
        <v>3.2000000000000001E-2</v>
      </c>
      <c r="J14" s="222"/>
      <c r="K14" s="222"/>
      <c r="L14" s="222"/>
      <c r="M14" s="222"/>
      <c r="N14" s="272"/>
      <c r="O14" s="177"/>
      <c r="P14" s="222"/>
      <c r="Q14" s="453"/>
      <c r="S14" s="273"/>
      <c r="T14" s="273"/>
      <c r="U14" s="273"/>
      <c r="AJ14" s="453"/>
      <c r="AZ14" s="274"/>
      <c r="BJ14" s="224"/>
      <c r="BK14" s="224"/>
      <c r="BL14" s="224"/>
      <c r="BO14" s="177"/>
      <c r="BP14" s="224"/>
      <c r="BQ14" s="275"/>
      <c r="BR14" s="276"/>
      <c r="BS14" s="224"/>
      <c r="BT14" s="277"/>
      <c r="BX14" s="224"/>
      <c r="BY14" s="224"/>
      <c r="BZ14" s="177"/>
      <c r="CA14" s="177"/>
      <c r="CB14" s="177"/>
      <c r="CC14" s="177"/>
    </row>
    <row r="15" spans="1:81" x14ac:dyDescent="0.2">
      <c r="A15" s="286" t="s">
        <v>34</v>
      </c>
      <c r="B15" s="244"/>
      <c r="C15" s="244"/>
      <c r="D15" s="244"/>
      <c r="E15" s="245"/>
      <c r="F15" s="271"/>
      <c r="G15" s="271"/>
      <c r="H15" s="175">
        <v>9</v>
      </c>
      <c r="I15" s="467">
        <f t="shared" si="0"/>
        <v>3.5999999999999997E-2</v>
      </c>
      <c r="J15" s="222"/>
      <c r="K15" s="222"/>
      <c r="L15" s="222"/>
      <c r="M15" s="222"/>
      <c r="N15" s="272"/>
      <c r="O15" s="177"/>
      <c r="P15" s="222"/>
      <c r="Q15" s="453"/>
      <c r="S15" s="273"/>
      <c r="T15" s="273"/>
      <c r="U15" s="273"/>
      <c r="AJ15" s="453"/>
      <c r="AZ15" s="274"/>
      <c r="BJ15" s="224"/>
      <c r="BK15" s="224"/>
      <c r="BL15" s="224"/>
      <c r="BO15" s="177"/>
      <c r="BP15" s="224"/>
      <c r="BQ15" s="275"/>
      <c r="BR15" s="276"/>
      <c r="BS15" s="224"/>
      <c r="BT15" s="277"/>
      <c r="BX15" s="224"/>
      <c r="BY15" s="224"/>
      <c r="BZ15" s="177"/>
      <c r="CA15" s="177"/>
      <c r="CB15" s="177"/>
      <c r="CC15" s="177"/>
    </row>
    <row r="16" spans="1:81" x14ac:dyDescent="0.2">
      <c r="A16" s="287" t="s">
        <v>26</v>
      </c>
      <c r="B16" s="267" t="s">
        <v>6</v>
      </c>
      <c r="C16" s="288" t="s">
        <v>33</v>
      </c>
      <c r="D16" s="289" t="s">
        <v>90</v>
      </c>
      <c r="E16" s="270" t="s">
        <v>41</v>
      </c>
      <c r="F16" s="271"/>
      <c r="G16" s="271"/>
      <c r="H16" s="175">
        <v>10</v>
      </c>
      <c r="I16" s="467">
        <f t="shared" si="0"/>
        <v>4.0000000000000008E-2</v>
      </c>
      <c r="J16" s="222"/>
      <c r="K16" s="222"/>
      <c r="L16" s="222"/>
      <c r="M16" s="222"/>
      <c r="N16" s="272"/>
      <c r="O16" s="177"/>
      <c r="P16" s="222"/>
      <c r="Q16" s="453"/>
      <c r="S16" s="273"/>
      <c r="T16" s="273"/>
      <c r="U16" s="273"/>
      <c r="AJ16" s="453"/>
      <c r="AZ16" s="274"/>
      <c r="BJ16" s="224"/>
      <c r="BK16" s="224"/>
      <c r="BL16" s="224"/>
      <c r="BO16" s="177"/>
      <c r="BP16" s="224"/>
      <c r="BQ16" s="275"/>
      <c r="BR16" s="276"/>
      <c r="BS16" s="224"/>
      <c r="BT16" s="277"/>
      <c r="BX16" s="224"/>
      <c r="BY16" s="224"/>
      <c r="BZ16" s="177"/>
      <c r="CA16" s="177"/>
      <c r="CB16" s="177"/>
      <c r="CC16" s="177"/>
    </row>
    <row r="17" spans="1:81" x14ac:dyDescent="0.2">
      <c r="A17" s="290" t="s">
        <v>247</v>
      </c>
      <c r="B17" s="291">
        <f>Vout/Vin/Fsw*1000000</f>
        <v>2500</v>
      </c>
      <c r="C17" s="292" t="s">
        <v>248</v>
      </c>
      <c r="D17" s="293">
        <f>B17/1000000</f>
        <v>2.5000000000000001E-3</v>
      </c>
      <c r="E17" s="282" t="s">
        <v>249</v>
      </c>
      <c r="F17" s="271"/>
      <c r="G17" s="271"/>
      <c r="H17" s="175">
        <v>11</v>
      </c>
      <c r="I17" s="467">
        <f t="shared" si="0"/>
        <v>4.4000000000000004E-2</v>
      </c>
      <c r="J17" s="222"/>
      <c r="K17" s="222"/>
      <c r="L17" s="222"/>
      <c r="M17" s="222"/>
      <c r="N17" s="272"/>
      <c r="O17" s="177"/>
      <c r="P17" s="222"/>
      <c r="Q17" s="453"/>
      <c r="S17" s="273"/>
      <c r="T17" s="273"/>
      <c r="U17" s="273"/>
      <c r="AJ17" s="453"/>
      <c r="AZ17" s="274"/>
      <c r="BJ17" s="224"/>
      <c r="BK17" s="224"/>
      <c r="BL17" s="224"/>
      <c r="BO17" s="177"/>
      <c r="BP17" s="224"/>
      <c r="BQ17" s="275"/>
      <c r="BR17" s="276"/>
      <c r="BS17" s="224"/>
      <c r="BT17" s="277"/>
      <c r="BX17" s="224"/>
      <c r="BY17" s="224"/>
      <c r="BZ17" s="177"/>
      <c r="CA17" s="177"/>
      <c r="CB17" s="177"/>
      <c r="CC17" s="177"/>
    </row>
    <row r="18" spans="1:81" x14ac:dyDescent="0.2">
      <c r="A18" s="290" t="s">
        <v>250</v>
      </c>
      <c r="B18" s="291"/>
      <c r="C18" s="292" t="s">
        <v>248</v>
      </c>
      <c r="D18" s="294">
        <f>B18/1000000</f>
        <v>0</v>
      </c>
      <c r="E18" s="280" t="s">
        <v>251</v>
      </c>
      <c r="F18" s="271"/>
      <c r="G18" s="271"/>
      <c r="H18" s="175">
        <v>12</v>
      </c>
      <c r="I18" s="467">
        <f t="shared" si="0"/>
        <v>4.8000000000000001E-2</v>
      </c>
      <c r="J18" s="222"/>
      <c r="K18" s="222"/>
      <c r="L18" s="222"/>
      <c r="M18" s="222"/>
      <c r="N18" s="272"/>
      <c r="O18" s="177"/>
      <c r="P18" s="222"/>
      <c r="Q18" s="453"/>
      <c r="S18" s="273"/>
      <c r="T18" s="273"/>
      <c r="U18" s="273"/>
      <c r="AJ18" s="453"/>
      <c r="AZ18" s="274"/>
      <c r="BJ18" s="224"/>
      <c r="BK18" s="224"/>
      <c r="BL18" s="224"/>
      <c r="BO18" s="177"/>
      <c r="BP18" s="224"/>
      <c r="BQ18" s="275"/>
      <c r="BR18" s="276"/>
      <c r="BS18" s="224"/>
      <c r="BT18" s="277"/>
      <c r="BX18" s="224"/>
      <c r="BY18" s="224"/>
      <c r="BZ18" s="177"/>
      <c r="CA18" s="177"/>
      <c r="CB18" s="177"/>
      <c r="CC18" s="177"/>
    </row>
    <row r="19" spans="1:81" ht="15.75" x14ac:dyDescent="0.3">
      <c r="A19" s="284" t="s">
        <v>252</v>
      </c>
      <c r="B19" s="295">
        <f>(Vin-Vout-(Rdcr_pri+Rdson)*Iout)/L*OnTime*1000</f>
        <v>351845.23809523805</v>
      </c>
      <c r="C19" s="282" t="s">
        <v>30</v>
      </c>
      <c r="D19" s="195">
        <f>B19/1000</f>
        <v>351.84523809523807</v>
      </c>
      <c r="E19" s="280" t="s">
        <v>253</v>
      </c>
      <c r="F19" s="271"/>
      <c r="G19" s="271"/>
      <c r="H19" s="175">
        <v>13</v>
      </c>
      <c r="I19" s="467">
        <f t="shared" si="0"/>
        <v>5.2000000000000005E-2</v>
      </c>
      <c r="J19" s="222"/>
      <c r="K19" s="222"/>
      <c r="L19" s="222"/>
      <c r="M19" s="222"/>
      <c r="N19" s="272"/>
      <c r="O19" s="177"/>
      <c r="P19" s="222"/>
      <c r="Q19" s="453"/>
      <c r="S19" s="273"/>
      <c r="T19" s="273"/>
      <c r="U19" s="273"/>
      <c r="AJ19" s="453"/>
      <c r="AZ19" s="274"/>
      <c r="BJ19" s="224"/>
      <c r="BK19" s="224"/>
      <c r="BL19" s="224"/>
      <c r="BO19" s="177"/>
      <c r="BP19" s="224"/>
      <c r="BQ19" s="275"/>
      <c r="BR19" s="276"/>
      <c r="BS19" s="224"/>
      <c r="BT19" s="277"/>
      <c r="BX19" s="224"/>
      <c r="BY19" s="224"/>
      <c r="BZ19" s="177"/>
      <c r="CA19" s="177"/>
      <c r="CB19" s="177"/>
      <c r="CC19" s="177"/>
    </row>
    <row r="20" spans="1:81" x14ac:dyDescent="0.2">
      <c r="A20" s="290" t="s">
        <v>254</v>
      </c>
      <c r="B20" s="296">
        <f>'Design Converter'!E13</f>
        <v>0.2</v>
      </c>
      <c r="C20" s="280" t="s">
        <v>2</v>
      </c>
      <c r="D20" s="297">
        <f>B20*1000</f>
        <v>200</v>
      </c>
      <c r="E20" s="282" t="s">
        <v>255</v>
      </c>
      <c r="F20" s="364"/>
      <c r="G20" s="271"/>
      <c r="H20" s="175">
        <v>14</v>
      </c>
      <c r="I20" s="467">
        <f t="shared" si="0"/>
        <v>5.6000000000000008E-2</v>
      </c>
      <c r="J20" s="222"/>
      <c r="K20" s="222"/>
      <c r="L20" s="222"/>
      <c r="M20" s="222"/>
      <c r="N20" s="272"/>
      <c r="O20" s="177"/>
      <c r="P20" s="222"/>
      <c r="Q20" s="453"/>
      <c r="S20" s="273"/>
      <c r="T20" s="273"/>
      <c r="U20" s="273"/>
      <c r="AJ20" s="453"/>
      <c r="AZ20" s="274"/>
      <c r="BJ20" s="224"/>
      <c r="BK20" s="224"/>
      <c r="BL20" s="224"/>
      <c r="BO20" s="177"/>
      <c r="BP20" s="224"/>
      <c r="BQ20" s="275"/>
      <c r="BR20" s="276"/>
      <c r="BS20" s="224"/>
      <c r="BT20" s="277"/>
      <c r="BX20" s="224"/>
      <c r="BY20" s="224"/>
      <c r="BZ20" s="177"/>
      <c r="CA20" s="177"/>
      <c r="CB20" s="177"/>
      <c r="CC20" s="177"/>
    </row>
    <row r="21" spans="1:81" x14ac:dyDescent="0.2">
      <c r="A21" s="290" t="s">
        <v>421</v>
      </c>
      <c r="B21" s="295">
        <v>350</v>
      </c>
      <c r="C21" s="282" t="s">
        <v>2</v>
      </c>
      <c r="D21" s="297">
        <f>B21*1000</f>
        <v>350000</v>
      </c>
      <c r="E21" s="282" t="s">
        <v>422</v>
      </c>
      <c r="F21" s="271"/>
      <c r="G21" s="271"/>
      <c r="H21" s="175">
        <v>15</v>
      </c>
      <c r="I21" s="467">
        <f t="shared" si="0"/>
        <v>0.06</v>
      </c>
      <c r="J21" s="222"/>
      <c r="K21" s="222"/>
      <c r="L21" s="222"/>
      <c r="M21" s="222"/>
      <c r="N21" s="272"/>
      <c r="O21" s="177"/>
      <c r="P21" s="222"/>
      <c r="Q21" s="453"/>
      <c r="S21" s="273"/>
      <c r="T21" s="273"/>
      <c r="U21" s="273"/>
      <c r="AJ21" s="453"/>
      <c r="AZ21" s="274"/>
      <c r="BJ21" s="224"/>
      <c r="BK21" s="224"/>
      <c r="BL21" s="224"/>
      <c r="BO21" s="177"/>
      <c r="BP21" s="224"/>
      <c r="BQ21" s="275"/>
      <c r="BR21" s="276"/>
      <c r="BS21" s="224"/>
      <c r="BT21" s="277"/>
      <c r="BX21" s="224"/>
      <c r="BY21" s="224"/>
      <c r="BZ21" s="177"/>
      <c r="CA21" s="177"/>
      <c r="CB21" s="177"/>
      <c r="CC21" s="177"/>
    </row>
    <row r="22" spans="1:81" x14ac:dyDescent="0.2">
      <c r="A22" s="298" t="s">
        <v>38</v>
      </c>
      <c r="B22" s="299">
        <v>15</v>
      </c>
      <c r="C22" s="280" t="s">
        <v>32</v>
      </c>
      <c r="D22" s="300">
        <f>B22/1000000000</f>
        <v>1.4999999999999999E-8</v>
      </c>
      <c r="E22" s="193" t="s">
        <v>256</v>
      </c>
      <c r="F22" s="271"/>
      <c r="G22" s="271"/>
      <c r="H22" s="175">
        <v>16</v>
      </c>
      <c r="I22" s="467">
        <f t="shared" si="0"/>
        <v>6.4000000000000001E-2</v>
      </c>
      <c r="J22" s="222"/>
      <c r="K22" s="222"/>
      <c r="L22" s="222"/>
      <c r="M22" s="222"/>
      <c r="N22" s="272"/>
      <c r="O22" s="177"/>
      <c r="P22" s="222"/>
      <c r="Q22" s="453"/>
      <c r="S22" s="273"/>
      <c r="T22" s="273"/>
      <c r="U22" s="273"/>
      <c r="AJ22" s="453"/>
      <c r="AZ22" s="274"/>
      <c r="BJ22" s="224"/>
      <c r="BK22" s="224"/>
      <c r="BL22" s="224"/>
      <c r="BO22" s="177"/>
      <c r="BP22" s="224"/>
      <c r="BQ22" s="275"/>
      <c r="BR22" s="276"/>
      <c r="BS22" s="224"/>
      <c r="BT22" s="277"/>
      <c r="BX22" s="224"/>
      <c r="BY22" s="224"/>
      <c r="BZ22" s="177"/>
      <c r="CA22" s="177"/>
      <c r="CB22" s="177"/>
      <c r="CC22" s="177"/>
    </row>
    <row r="23" spans="1:81" x14ac:dyDescent="0.2">
      <c r="A23" s="298" t="s">
        <v>39</v>
      </c>
      <c r="B23" s="299">
        <v>15</v>
      </c>
      <c r="C23" s="280" t="s">
        <v>32</v>
      </c>
      <c r="D23" s="300">
        <f>B23/1000000000</f>
        <v>1.4999999999999999E-8</v>
      </c>
      <c r="E23" s="193" t="s">
        <v>257</v>
      </c>
      <c r="F23" s="271"/>
      <c r="G23" s="271"/>
      <c r="H23" s="175">
        <v>17</v>
      </c>
      <c r="I23" s="467">
        <f t="shared" si="0"/>
        <v>6.8000000000000005E-2</v>
      </c>
      <c r="J23" s="222"/>
      <c r="K23" s="222"/>
      <c r="L23" s="222"/>
      <c r="M23" s="222"/>
      <c r="N23" s="272"/>
      <c r="O23" s="177"/>
      <c r="P23" s="222"/>
      <c r="Q23" s="453"/>
      <c r="S23" s="273"/>
      <c r="T23" s="273"/>
      <c r="U23" s="273"/>
      <c r="AJ23" s="453"/>
      <c r="AZ23" s="274"/>
      <c r="BJ23" s="224"/>
      <c r="BK23" s="224"/>
      <c r="BL23" s="224"/>
      <c r="BO23" s="177"/>
      <c r="BP23" s="224"/>
      <c r="BQ23" s="275"/>
      <c r="BR23" s="276"/>
      <c r="BS23" s="224"/>
      <c r="BT23" s="277"/>
      <c r="BX23" s="224"/>
      <c r="BY23" s="224"/>
      <c r="BZ23" s="177"/>
      <c r="CA23" s="177"/>
      <c r="CB23" s="177"/>
      <c r="CC23" s="177"/>
    </row>
    <row r="24" spans="1:81" x14ac:dyDescent="0.2">
      <c r="A24" s="245"/>
      <c r="B24" s="245"/>
      <c r="C24" s="245"/>
      <c r="D24" s="245"/>
      <c r="E24" s="245"/>
      <c r="F24" s="271"/>
      <c r="G24" s="271"/>
      <c r="H24" s="175">
        <v>18</v>
      </c>
      <c r="I24" s="467">
        <f t="shared" si="0"/>
        <v>7.1999999999999995E-2</v>
      </c>
      <c r="J24" s="222"/>
      <c r="K24" s="222"/>
      <c r="L24" s="222"/>
      <c r="M24" s="222"/>
      <c r="N24" s="272"/>
      <c r="O24" s="177"/>
      <c r="P24" s="222"/>
      <c r="Q24" s="453"/>
      <c r="S24" s="273"/>
      <c r="T24" s="273"/>
      <c r="U24" s="273"/>
      <c r="AJ24" s="453"/>
      <c r="AZ24" s="274"/>
      <c r="BJ24" s="224"/>
      <c r="BK24" s="224"/>
      <c r="BL24" s="224"/>
      <c r="BO24" s="177"/>
      <c r="BP24" s="224"/>
      <c r="BQ24" s="275"/>
      <c r="BR24" s="276"/>
      <c r="BS24" s="224"/>
      <c r="BT24" s="277"/>
      <c r="BX24" s="224"/>
      <c r="BY24" s="224"/>
      <c r="BZ24" s="177"/>
      <c r="CA24" s="177"/>
      <c r="CB24" s="177"/>
      <c r="CC24" s="177"/>
    </row>
    <row r="25" spans="1:81" x14ac:dyDescent="0.2">
      <c r="A25" s="287" t="s">
        <v>29</v>
      </c>
      <c r="B25" s="268" t="s">
        <v>43</v>
      </c>
      <c r="C25" s="288" t="s">
        <v>33</v>
      </c>
      <c r="D25" s="289" t="s">
        <v>90</v>
      </c>
      <c r="E25" s="270" t="s">
        <v>41</v>
      </c>
      <c r="F25" s="271"/>
      <c r="G25" s="271"/>
      <c r="H25" s="175">
        <v>19</v>
      </c>
      <c r="I25" s="467">
        <f t="shared" si="0"/>
        <v>7.6000000000000012E-2</v>
      </c>
      <c r="J25" s="222"/>
      <c r="K25" s="222"/>
      <c r="L25" s="222"/>
      <c r="M25" s="222"/>
      <c r="N25" s="272"/>
      <c r="O25" s="177"/>
      <c r="P25" s="222"/>
      <c r="Q25" s="453"/>
      <c r="S25" s="273"/>
      <c r="T25" s="273"/>
      <c r="U25" s="273"/>
      <c r="AJ25" s="453"/>
      <c r="AZ25" s="274"/>
      <c r="BJ25" s="224"/>
      <c r="BK25" s="224"/>
      <c r="BL25" s="224"/>
      <c r="BO25" s="177"/>
      <c r="BP25" s="224"/>
      <c r="BQ25" s="275"/>
      <c r="BR25" s="276"/>
      <c r="BS25" s="224"/>
      <c r="BT25" s="277"/>
      <c r="BX25" s="224"/>
      <c r="BY25" s="224"/>
      <c r="BZ25" s="177"/>
      <c r="CA25" s="177"/>
      <c r="CB25" s="177"/>
      <c r="CC25" s="177"/>
    </row>
    <row r="26" spans="1:81" ht="13.5" thickBot="1" x14ac:dyDescent="0.25">
      <c r="A26" s="301" t="s">
        <v>27</v>
      </c>
      <c r="B26" s="282">
        <f>'Design Converter'!L7</f>
        <v>84</v>
      </c>
      <c r="C26" s="292" t="s">
        <v>96</v>
      </c>
      <c r="D26" s="199">
        <f>B26/1000000</f>
        <v>8.3999999999999995E-5</v>
      </c>
      <c r="E26" s="282" t="s">
        <v>258</v>
      </c>
      <c r="F26" s="302"/>
      <c r="G26" s="271"/>
      <c r="H26" s="175">
        <v>20</v>
      </c>
      <c r="I26" s="467">
        <f t="shared" si="0"/>
        <v>8.0000000000000016E-2</v>
      </c>
      <c r="J26" s="222"/>
      <c r="K26" s="222"/>
      <c r="L26" s="222"/>
      <c r="M26" s="222"/>
      <c r="N26" s="272"/>
      <c r="O26" s="177"/>
      <c r="P26" s="222"/>
      <c r="Q26" s="453"/>
      <c r="S26" s="273"/>
      <c r="T26" s="273"/>
      <c r="U26" s="273"/>
      <c r="AJ26" s="453"/>
      <c r="AZ26" s="274"/>
      <c r="BJ26" s="224"/>
      <c r="BK26" s="224"/>
      <c r="BL26" s="224"/>
      <c r="BO26" s="177"/>
      <c r="BP26" s="224"/>
      <c r="BQ26" s="275"/>
      <c r="BR26" s="276"/>
      <c r="BS26" s="224"/>
      <c r="BT26" s="277"/>
      <c r="BX26" s="224"/>
      <c r="BY26" s="224"/>
      <c r="BZ26" s="177"/>
      <c r="CA26" s="177"/>
      <c r="CB26" s="177"/>
      <c r="CC26" s="177"/>
    </row>
    <row r="27" spans="1:81" ht="13.5" thickBot="1" x14ac:dyDescent="0.25">
      <c r="A27" s="303" t="s">
        <v>396</v>
      </c>
      <c r="B27" s="304">
        <f>'Design Converter'!L8</f>
        <v>95</v>
      </c>
      <c r="C27" s="305" t="s">
        <v>259</v>
      </c>
      <c r="D27" s="199">
        <f>B27/1000</f>
        <v>9.5000000000000001E-2</v>
      </c>
      <c r="E27" s="282" t="s">
        <v>491</v>
      </c>
      <c r="F27" s="271"/>
      <c r="G27" s="271"/>
      <c r="H27" s="175">
        <v>21</v>
      </c>
      <c r="I27" s="467">
        <f t="shared" si="0"/>
        <v>8.4000000000000005E-2</v>
      </c>
      <c r="J27" s="222"/>
      <c r="K27" s="222"/>
      <c r="L27" s="222"/>
      <c r="M27" s="222"/>
      <c r="N27" s="272"/>
      <c r="O27" s="177"/>
      <c r="P27" s="222"/>
      <c r="Q27" s="453"/>
      <c r="S27" s="273"/>
      <c r="T27" s="273"/>
      <c r="U27" s="273"/>
      <c r="AJ27" s="453"/>
      <c r="AZ27" s="274"/>
      <c r="BJ27" s="224"/>
      <c r="BK27" s="224"/>
      <c r="BL27" s="224"/>
      <c r="BO27" s="177"/>
      <c r="BP27" s="224"/>
      <c r="BQ27" s="275"/>
      <c r="BR27" s="276"/>
      <c r="BS27" s="224"/>
      <c r="BT27" s="277"/>
      <c r="BX27" s="224"/>
      <c r="BY27" s="224"/>
      <c r="BZ27" s="177"/>
      <c r="CA27" s="177"/>
      <c r="CB27" s="177"/>
      <c r="CC27" s="177"/>
    </row>
    <row r="28" spans="1:81" ht="13.5" thickBot="1" x14ac:dyDescent="0.25">
      <c r="A28" s="303" t="s">
        <v>459</v>
      </c>
      <c r="B28" s="304">
        <f>'Design Converter'!L9</f>
        <v>90</v>
      </c>
      <c r="C28" s="305" t="s">
        <v>259</v>
      </c>
      <c r="D28" s="199">
        <f>B28/1000</f>
        <v>0.09</v>
      </c>
      <c r="E28" s="282" t="s">
        <v>671</v>
      </c>
      <c r="F28" s="271"/>
      <c r="G28" s="271"/>
      <c r="H28" s="175">
        <v>22</v>
      </c>
      <c r="I28" s="467">
        <f t="shared" si="0"/>
        <v>8.8000000000000009E-2</v>
      </c>
      <c r="J28" s="222"/>
      <c r="K28" s="222"/>
      <c r="L28" s="222"/>
      <c r="M28" s="222"/>
      <c r="N28" s="272"/>
      <c r="O28" s="177"/>
      <c r="P28" s="222"/>
      <c r="Q28" s="453"/>
      <c r="S28" s="273"/>
      <c r="T28" s="273"/>
      <c r="U28" s="273"/>
      <c r="AJ28" s="453"/>
      <c r="AZ28" s="274"/>
      <c r="BJ28" s="224"/>
      <c r="BK28" s="224"/>
      <c r="BL28" s="224"/>
      <c r="BO28" s="177"/>
      <c r="BP28" s="224"/>
      <c r="BQ28" s="275"/>
      <c r="BR28" s="276"/>
      <c r="BS28" s="224"/>
      <c r="BT28" s="277"/>
      <c r="BX28" s="224"/>
      <c r="BY28" s="224"/>
      <c r="BZ28" s="177"/>
      <c r="CA28" s="177"/>
      <c r="CB28" s="177"/>
      <c r="CC28" s="177"/>
    </row>
    <row r="29" spans="1:81" ht="13.5" thickBot="1" x14ac:dyDescent="0.25">
      <c r="A29" s="306" t="s">
        <v>260</v>
      </c>
      <c r="B29" s="307">
        <v>4.9999999999999998E-8</v>
      </c>
      <c r="C29" s="305"/>
      <c r="D29" s="308">
        <f>B29</f>
        <v>4.9999999999999998E-8</v>
      </c>
      <c r="E29" s="309" t="s">
        <v>490</v>
      </c>
      <c r="F29" s="271"/>
      <c r="G29" s="271"/>
      <c r="H29" s="175">
        <v>23</v>
      </c>
      <c r="I29" s="467">
        <f t="shared" si="0"/>
        <v>9.2000000000000012E-2</v>
      </c>
      <c r="J29" s="222"/>
      <c r="K29" s="222"/>
      <c r="L29" s="222"/>
      <c r="M29" s="222"/>
      <c r="N29" s="272"/>
      <c r="O29" s="177"/>
      <c r="P29" s="222"/>
      <c r="Q29" s="453"/>
      <c r="S29" s="273"/>
      <c r="T29" s="273"/>
      <c r="U29" s="273"/>
      <c r="AJ29" s="453"/>
      <c r="AZ29" s="274"/>
      <c r="BJ29" s="224"/>
      <c r="BK29" s="224"/>
      <c r="BL29" s="224"/>
      <c r="BO29" s="177"/>
      <c r="BP29" s="224"/>
      <c r="BQ29" s="275"/>
      <c r="BR29" s="276"/>
      <c r="BS29" s="224"/>
      <c r="BT29" s="277"/>
      <c r="BX29" s="224"/>
      <c r="BY29" s="224"/>
      <c r="BZ29" s="177"/>
      <c r="CA29" s="177"/>
      <c r="CB29" s="177"/>
      <c r="CC29" s="177"/>
    </row>
    <row r="30" spans="1:81" ht="13.5" thickBot="1" x14ac:dyDescent="0.25">
      <c r="A30" s="310" t="s">
        <v>28</v>
      </c>
      <c r="B30" s="304">
        <f>'Design Converter'!E17</f>
        <v>22</v>
      </c>
      <c r="C30" s="311" t="s">
        <v>97</v>
      </c>
      <c r="D30" s="312">
        <f>B30/1000000</f>
        <v>2.1999999999999999E-5</v>
      </c>
      <c r="E30" s="313" t="s">
        <v>60</v>
      </c>
      <c r="F30" s="271"/>
      <c r="G30" s="271"/>
      <c r="H30" s="175">
        <v>24</v>
      </c>
      <c r="I30" s="467">
        <f t="shared" si="0"/>
        <v>9.6000000000000002E-2</v>
      </c>
      <c r="J30" s="222"/>
      <c r="K30" s="222"/>
      <c r="L30" s="222"/>
      <c r="M30" s="222"/>
      <c r="N30" s="272"/>
      <c r="O30" s="177"/>
      <c r="P30" s="222"/>
      <c r="Q30" s="453"/>
      <c r="S30" s="273"/>
      <c r="T30" s="273"/>
      <c r="U30" s="273"/>
      <c r="AJ30" s="453"/>
      <c r="AZ30" s="274"/>
      <c r="BJ30" s="224"/>
      <c r="BK30" s="224"/>
      <c r="BL30" s="224"/>
      <c r="BO30" s="177"/>
      <c r="BP30" s="224"/>
      <c r="BQ30" s="275"/>
      <c r="BR30" s="276"/>
      <c r="BS30" s="224"/>
      <c r="BT30" s="277"/>
      <c r="BX30" s="224"/>
      <c r="BY30" s="224"/>
      <c r="BZ30" s="177"/>
      <c r="CA30" s="177"/>
      <c r="CB30" s="177"/>
      <c r="CC30" s="177"/>
    </row>
    <row r="31" spans="1:81" ht="13.5" thickBot="1" x14ac:dyDescent="0.25">
      <c r="A31" s="306" t="s">
        <v>261</v>
      </c>
      <c r="B31" s="304">
        <f>'Design Converter'!E18</f>
        <v>5</v>
      </c>
      <c r="C31" s="305" t="s">
        <v>259</v>
      </c>
      <c r="D31" s="199">
        <f>B31/1000</f>
        <v>5.0000000000000001E-3</v>
      </c>
      <c r="E31" s="282" t="s">
        <v>262</v>
      </c>
      <c r="F31" s="271"/>
      <c r="G31" s="271"/>
      <c r="H31" s="175">
        <v>25</v>
      </c>
      <c r="I31" s="467">
        <f t="shared" si="0"/>
        <v>0.1</v>
      </c>
      <c r="J31" s="222"/>
      <c r="K31" s="222"/>
      <c r="L31" s="222"/>
      <c r="M31" s="222"/>
      <c r="N31" s="272"/>
      <c r="O31" s="177"/>
      <c r="P31" s="222"/>
      <c r="Q31" s="453"/>
      <c r="S31" s="273"/>
      <c r="T31" s="273"/>
      <c r="U31" s="273"/>
      <c r="AJ31" s="453"/>
      <c r="AZ31" s="274"/>
      <c r="BJ31" s="224"/>
      <c r="BK31" s="224"/>
      <c r="BL31" s="224"/>
      <c r="BO31" s="177"/>
      <c r="BP31" s="224"/>
      <c r="BQ31" s="275"/>
      <c r="BR31" s="276"/>
      <c r="BS31" s="224"/>
      <c r="BT31" s="277"/>
      <c r="BX31" s="224"/>
      <c r="BY31" s="224"/>
      <c r="BZ31" s="177"/>
      <c r="CA31" s="177"/>
      <c r="CB31" s="177"/>
      <c r="CC31" s="177"/>
    </row>
    <row r="32" spans="1:81" ht="13.5" thickBot="1" x14ac:dyDescent="0.25">
      <c r="A32" s="301" t="s">
        <v>14</v>
      </c>
      <c r="B32" s="363">
        <f>'Design Converter'!E21</f>
        <v>100</v>
      </c>
      <c r="C32" s="292" t="s">
        <v>97</v>
      </c>
      <c r="D32" s="293">
        <f>B32/1000000</f>
        <v>1E-4</v>
      </c>
      <c r="E32" s="282" t="s">
        <v>263</v>
      </c>
      <c r="F32" s="271"/>
      <c r="G32" s="271"/>
      <c r="H32" s="175">
        <v>26</v>
      </c>
      <c r="I32" s="467">
        <f t="shared" si="0"/>
        <v>0.10400000000000001</v>
      </c>
      <c r="J32" s="222"/>
      <c r="K32" s="222"/>
      <c r="L32" s="222"/>
      <c r="M32" s="222"/>
      <c r="N32" s="272"/>
      <c r="O32" s="177"/>
      <c r="P32" s="222"/>
      <c r="Q32" s="453"/>
      <c r="S32" s="273"/>
      <c r="T32" s="273"/>
      <c r="U32" s="273"/>
      <c r="AJ32" s="453"/>
      <c r="AZ32" s="274"/>
      <c r="BJ32" s="224"/>
      <c r="BK32" s="224"/>
      <c r="BL32" s="224"/>
      <c r="BO32" s="177"/>
      <c r="BP32" s="224"/>
      <c r="BQ32" s="275"/>
      <c r="BR32" s="276"/>
      <c r="BS32" s="224"/>
      <c r="BT32" s="277"/>
      <c r="BX32" s="224"/>
      <c r="BY32" s="224"/>
      <c r="BZ32" s="177"/>
      <c r="CA32" s="177"/>
      <c r="CB32" s="177"/>
      <c r="CC32" s="177"/>
    </row>
    <row r="33" spans="1:81" x14ac:dyDescent="0.2">
      <c r="A33" s="306" t="s">
        <v>264</v>
      </c>
      <c r="B33" s="363">
        <f>'Design Converter'!E22</f>
        <v>3</v>
      </c>
      <c r="C33" s="305" t="s">
        <v>259</v>
      </c>
      <c r="D33" s="199">
        <f>B33/1000</f>
        <v>3.0000000000000001E-3</v>
      </c>
      <c r="E33" s="282" t="s">
        <v>265</v>
      </c>
      <c r="F33" s="271"/>
      <c r="G33" s="271"/>
      <c r="H33" s="175">
        <v>27</v>
      </c>
      <c r="I33" s="467">
        <f t="shared" si="0"/>
        <v>0.10800000000000001</v>
      </c>
      <c r="J33" s="222"/>
      <c r="K33" s="222"/>
      <c r="L33" s="222"/>
      <c r="M33" s="222"/>
      <c r="N33" s="272"/>
      <c r="O33" s="177"/>
      <c r="P33" s="222"/>
      <c r="Q33" s="453"/>
      <c r="S33" s="273"/>
      <c r="T33" s="273"/>
      <c r="U33" s="273"/>
      <c r="AJ33" s="453"/>
      <c r="AZ33" s="274"/>
      <c r="BJ33" s="224"/>
      <c r="BK33" s="224"/>
      <c r="BL33" s="224"/>
      <c r="BO33" s="177"/>
      <c r="BP33" s="224"/>
      <c r="BQ33" s="275"/>
      <c r="BR33" s="276"/>
      <c r="BS33" s="224"/>
      <c r="BT33" s="277"/>
      <c r="BX33" s="224"/>
      <c r="BY33" s="224"/>
      <c r="BZ33" s="177"/>
      <c r="CA33" s="177"/>
      <c r="CB33" s="177"/>
      <c r="CC33" s="177"/>
    </row>
    <row r="34" spans="1:81" x14ac:dyDescent="0.2">
      <c r="A34" s="314" t="s">
        <v>405</v>
      </c>
      <c r="B34" s="268"/>
      <c r="C34" s="314" t="s">
        <v>33</v>
      </c>
      <c r="D34" s="315" t="s">
        <v>90</v>
      </c>
      <c r="E34" s="316" t="s">
        <v>41</v>
      </c>
      <c r="F34" s="271"/>
      <c r="G34" s="271"/>
      <c r="H34" s="175">
        <v>28</v>
      </c>
      <c r="I34" s="467">
        <f t="shared" si="0"/>
        <v>0.11200000000000002</v>
      </c>
      <c r="J34" s="222"/>
      <c r="K34" s="222"/>
      <c r="L34" s="222"/>
      <c r="M34" s="222"/>
      <c r="N34" s="272"/>
      <c r="O34" s="177"/>
      <c r="P34" s="222"/>
      <c r="Q34" s="453"/>
      <c r="S34" s="273"/>
      <c r="T34" s="273"/>
      <c r="U34" s="273"/>
      <c r="AJ34" s="453"/>
      <c r="AZ34" s="274"/>
      <c r="BJ34" s="224"/>
      <c r="BK34" s="224"/>
      <c r="BL34" s="224"/>
      <c r="BO34" s="177"/>
      <c r="BP34" s="224"/>
      <c r="BQ34" s="275"/>
      <c r="BR34" s="276"/>
      <c r="BS34" s="224"/>
      <c r="BT34" s="277"/>
      <c r="BX34" s="224"/>
      <c r="BY34" s="224"/>
      <c r="BZ34" s="177"/>
      <c r="CA34" s="177"/>
      <c r="CB34" s="177"/>
      <c r="CC34" s="177"/>
    </row>
    <row r="35" spans="1:81" x14ac:dyDescent="0.2">
      <c r="A35" s="303" t="s">
        <v>410</v>
      </c>
      <c r="B35" s="317">
        <v>1.45</v>
      </c>
      <c r="C35" s="292" t="s">
        <v>1</v>
      </c>
      <c r="D35" s="274">
        <f>B35</f>
        <v>1.45</v>
      </c>
      <c r="E35" s="193" t="s">
        <v>409</v>
      </c>
      <c r="F35" s="271"/>
      <c r="G35" s="271"/>
      <c r="H35" s="175">
        <v>29</v>
      </c>
      <c r="I35" s="467">
        <f t="shared" si="0"/>
        <v>0.11599999999999999</v>
      </c>
      <c r="J35" s="222"/>
      <c r="K35" s="222"/>
      <c r="L35" s="222"/>
      <c r="M35" s="222"/>
      <c r="N35" s="272"/>
      <c r="O35" s="177"/>
      <c r="P35" s="222"/>
      <c r="Q35" s="453"/>
      <c r="S35" s="273"/>
      <c r="T35" s="273"/>
      <c r="U35" s="273"/>
      <c r="AJ35" s="453"/>
      <c r="AZ35" s="274"/>
      <c r="BJ35" s="224"/>
      <c r="BK35" s="224"/>
      <c r="BL35" s="224"/>
      <c r="BO35" s="177"/>
      <c r="BP35" s="224"/>
      <c r="BQ35" s="275"/>
      <c r="BR35" s="276"/>
      <c r="BS35" s="224"/>
      <c r="BT35" s="277"/>
      <c r="BX35" s="224"/>
      <c r="BY35" s="224"/>
      <c r="BZ35" s="177"/>
      <c r="CA35" s="177"/>
      <c r="CB35" s="177"/>
      <c r="CC35" s="177"/>
    </row>
    <row r="36" spans="1:81" ht="13.5" thickBot="1" x14ac:dyDescent="0.25">
      <c r="A36" s="303" t="s">
        <v>418</v>
      </c>
      <c r="B36" s="317">
        <f>B35/5</f>
        <v>0.28999999999999998</v>
      </c>
      <c r="C36" s="292" t="s">
        <v>1</v>
      </c>
      <c r="D36" s="274">
        <f>B36</f>
        <v>0.28999999999999998</v>
      </c>
      <c r="E36" s="193" t="s">
        <v>419</v>
      </c>
      <c r="F36" s="271"/>
      <c r="G36" s="271"/>
      <c r="H36" s="175">
        <v>30</v>
      </c>
      <c r="I36" s="467">
        <f t="shared" si="0"/>
        <v>0.12</v>
      </c>
      <c r="J36" s="222"/>
      <c r="K36" s="222"/>
      <c r="L36" s="222"/>
      <c r="M36" s="222"/>
      <c r="N36" s="272"/>
      <c r="O36" s="177"/>
      <c r="P36" s="222"/>
      <c r="Q36" s="453"/>
      <c r="S36" s="273"/>
      <c r="T36" s="273"/>
      <c r="U36" s="273"/>
      <c r="AJ36" s="453"/>
      <c r="AZ36" s="274"/>
      <c r="BJ36" s="224"/>
      <c r="BK36" s="224"/>
      <c r="BL36" s="224"/>
      <c r="BO36" s="177"/>
      <c r="BP36" s="224"/>
      <c r="BQ36" s="275"/>
      <c r="BR36" s="276"/>
      <c r="BS36" s="224"/>
      <c r="BT36" s="277"/>
      <c r="BX36" s="224"/>
      <c r="BY36" s="224"/>
      <c r="BZ36" s="177"/>
      <c r="CA36" s="177"/>
      <c r="CB36" s="177"/>
      <c r="CC36" s="177"/>
    </row>
    <row r="37" spans="1:81" ht="13.5" thickBot="1" x14ac:dyDescent="0.25">
      <c r="A37" s="318" t="s">
        <v>47</v>
      </c>
      <c r="B37" s="543">
        <v>1</v>
      </c>
      <c r="C37" s="292"/>
      <c r="D37" s="274">
        <f>B37</f>
        <v>1</v>
      </c>
      <c r="E37" s="193" t="s">
        <v>420</v>
      </c>
      <c r="F37" s="271"/>
      <c r="G37" s="271"/>
      <c r="H37" s="175">
        <v>31</v>
      </c>
      <c r="I37" s="467">
        <f t="shared" si="0"/>
        <v>0.124</v>
      </c>
      <c r="J37" s="222"/>
      <c r="K37" s="222"/>
      <c r="L37" s="222"/>
      <c r="M37" s="222"/>
      <c r="N37" s="272"/>
      <c r="O37" s="177"/>
      <c r="P37" s="222"/>
      <c r="Q37" s="453"/>
      <c r="S37" s="273"/>
      <c r="T37" s="273"/>
      <c r="U37" s="273"/>
      <c r="AJ37" s="453"/>
      <c r="AZ37" s="274"/>
      <c r="BJ37" s="224"/>
      <c r="BK37" s="224"/>
      <c r="BL37" s="224"/>
      <c r="BO37" s="177"/>
      <c r="BP37" s="224"/>
      <c r="BQ37" s="275"/>
      <c r="BR37" s="276"/>
      <c r="BS37" s="224"/>
      <c r="BT37" s="277"/>
      <c r="BX37" s="224"/>
      <c r="BY37" s="224"/>
      <c r="BZ37" s="177"/>
      <c r="CA37" s="177"/>
      <c r="CB37" s="177"/>
      <c r="CC37" s="177"/>
    </row>
    <row r="38" spans="1:81" x14ac:dyDescent="0.2">
      <c r="A38" s="303" t="s">
        <v>24</v>
      </c>
      <c r="B38" s="319">
        <v>290</v>
      </c>
      <c r="C38" s="292" t="s">
        <v>266</v>
      </c>
      <c r="D38" s="294">
        <f>B38/1000000</f>
        <v>2.9E-4</v>
      </c>
      <c r="E38" s="282" t="s">
        <v>492</v>
      </c>
      <c r="H38" s="175">
        <v>32</v>
      </c>
      <c r="I38" s="467">
        <f t="shared" ref="I38:I69" si="24">IF(PLOT_TYPE=1, H38/100*Iout_max, min_I*EXP(H38*rr/100))</f>
        <v>0.128</v>
      </c>
      <c r="J38" s="222"/>
      <c r="K38" s="222"/>
      <c r="L38" s="222"/>
      <c r="M38" s="222"/>
      <c r="N38" s="272"/>
      <c r="O38" s="177"/>
      <c r="P38" s="222"/>
      <c r="Q38" s="453"/>
      <c r="S38" s="273"/>
      <c r="T38" s="273"/>
      <c r="U38" s="273"/>
      <c r="AJ38" s="453"/>
      <c r="AZ38" s="274"/>
      <c r="BJ38" s="224"/>
      <c r="BK38" s="224"/>
      <c r="BL38" s="224"/>
      <c r="BO38" s="177"/>
      <c r="BP38" s="224"/>
      <c r="BQ38" s="275"/>
      <c r="BR38" s="276"/>
      <c r="BS38" s="224"/>
      <c r="BT38" s="277"/>
      <c r="BX38" s="224"/>
      <c r="BY38" s="224"/>
      <c r="BZ38" s="177"/>
      <c r="CA38" s="177"/>
      <c r="CB38" s="177"/>
      <c r="CC38" s="177"/>
    </row>
    <row r="39" spans="1:81" ht="13.5" thickBot="1" x14ac:dyDescent="0.25">
      <c r="A39" s="314" t="s">
        <v>402</v>
      </c>
      <c r="B39" s="320"/>
      <c r="C39" s="314" t="s">
        <v>33</v>
      </c>
      <c r="D39" s="315" t="s">
        <v>90</v>
      </c>
      <c r="E39" s="321" t="s">
        <v>41</v>
      </c>
      <c r="H39" s="175">
        <v>33</v>
      </c>
      <c r="I39" s="467">
        <f t="shared" si="24"/>
        <v>0.13200000000000001</v>
      </c>
      <c r="J39" s="222"/>
      <c r="K39" s="222"/>
      <c r="L39" s="222"/>
      <c r="M39" s="222"/>
      <c r="N39" s="272"/>
      <c r="O39" s="177"/>
      <c r="P39" s="222"/>
      <c r="Q39" s="453"/>
      <c r="S39" s="273"/>
      <c r="T39" s="273"/>
      <c r="U39" s="273"/>
      <c r="AJ39" s="453"/>
      <c r="AZ39" s="274"/>
      <c r="BJ39" s="224"/>
      <c r="BK39" s="224"/>
      <c r="BL39" s="224"/>
      <c r="BO39" s="177"/>
      <c r="BP39" s="224"/>
      <c r="BQ39" s="275"/>
      <c r="BR39" s="276"/>
      <c r="BS39" s="224"/>
      <c r="BT39" s="277"/>
      <c r="BX39" s="224"/>
      <c r="BY39" s="224"/>
      <c r="BZ39" s="177"/>
      <c r="CA39" s="177"/>
      <c r="CB39" s="177"/>
      <c r="CC39" s="177"/>
    </row>
    <row r="40" spans="1:81" x14ac:dyDescent="0.2">
      <c r="A40" s="322" t="s">
        <v>403</v>
      </c>
      <c r="B40" s="323">
        <v>350</v>
      </c>
      <c r="C40" s="283" t="s">
        <v>259</v>
      </c>
      <c r="D40" s="176">
        <f>B40/1000</f>
        <v>0.35</v>
      </c>
      <c r="E40" s="282" t="s">
        <v>407</v>
      </c>
      <c r="H40" s="175">
        <v>34</v>
      </c>
      <c r="I40" s="467">
        <f t="shared" si="24"/>
        <v>0.13600000000000001</v>
      </c>
      <c r="J40" s="222"/>
      <c r="K40" s="222"/>
      <c r="L40" s="222"/>
      <c r="M40" s="222"/>
      <c r="N40" s="272"/>
      <c r="O40" s="177"/>
      <c r="P40" s="222"/>
      <c r="Q40" s="453"/>
      <c r="S40" s="273"/>
      <c r="T40" s="273"/>
      <c r="U40" s="273"/>
      <c r="AJ40" s="453"/>
      <c r="AZ40" s="274"/>
      <c r="BJ40" s="224"/>
      <c r="BK40" s="224"/>
      <c r="BL40" s="224"/>
      <c r="BO40" s="177"/>
      <c r="BP40" s="224"/>
      <c r="BQ40" s="275"/>
      <c r="BR40" s="276"/>
      <c r="BS40" s="224"/>
      <c r="BT40" s="277"/>
      <c r="BX40" s="224"/>
      <c r="BY40" s="224"/>
      <c r="BZ40" s="177"/>
      <c r="CA40" s="177"/>
      <c r="CB40" s="177"/>
      <c r="CC40" s="177"/>
    </row>
    <row r="41" spans="1:81" ht="13.5" thickBot="1" x14ac:dyDescent="0.25">
      <c r="A41" s="175" t="s">
        <v>697</v>
      </c>
      <c r="B41" s="175">
        <v>4500</v>
      </c>
      <c r="C41" s="662" t="s">
        <v>698</v>
      </c>
      <c r="D41" s="176">
        <f>B41/1000000</f>
        <v>4.4999999999999997E-3</v>
      </c>
      <c r="E41" s="663" t="s">
        <v>699</v>
      </c>
      <c r="H41" s="175">
        <v>35</v>
      </c>
      <c r="I41" s="467">
        <f t="shared" si="24"/>
        <v>0.13999999999999999</v>
      </c>
      <c r="J41" s="222"/>
      <c r="K41" s="222"/>
      <c r="L41" s="222"/>
      <c r="M41" s="222"/>
      <c r="N41" s="272"/>
      <c r="O41" s="177"/>
      <c r="P41" s="222"/>
      <c r="Q41" s="453"/>
      <c r="S41" s="273"/>
      <c r="T41" s="273"/>
      <c r="U41" s="273"/>
      <c r="AJ41" s="453"/>
      <c r="AZ41" s="274"/>
      <c r="BJ41" s="224"/>
      <c r="BK41" s="224"/>
      <c r="BL41" s="224"/>
      <c r="BO41" s="177"/>
      <c r="BP41" s="224"/>
      <c r="BQ41" s="275"/>
      <c r="BR41" s="276"/>
      <c r="BS41" s="224"/>
      <c r="BT41" s="277"/>
      <c r="BX41" s="224"/>
      <c r="BY41" s="224"/>
      <c r="BZ41" s="177"/>
      <c r="CA41" s="177"/>
      <c r="CB41" s="177"/>
      <c r="CC41" s="177"/>
    </row>
    <row r="42" spans="1:81" ht="13.5" thickBot="1" x14ac:dyDescent="0.25">
      <c r="A42" s="303" t="s">
        <v>267</v>
      </c>
      <c r="B42" s="324"/>
      <c r="C42" s="325" t="s">
        <v>268</v>
      </c>
      <c r="D42" s="176"/>
      <c r="E42" s="282" t="s">
        <v>267</v>
      </c>
      <c r="H42" s="175">
        <v>36</v>
      </c>
      <c r="I42" s="467">
        <f t="shared" si="24"/>
        <v>0.14399999999999999</v>
      </c>
      <c r="J42" s="222"/>
      <c r="K42" s="222"/>
      <c r="L42" s="222"/>
      <c r="M42" s="222"/>
      <c r="N42" s="272"/>
      <c r="O42" s="177"/>
      <c r="P42" s="222"/>
      <c r="Q42" s="453"/>
      <c r="S42" s="273"/>
      <c r="T42" s="273"/>
      <c r="U42" s="273"/>
      <c r="AJ42" s="453"/>
      <c r="AZ42" s="274"/>
      <c r="BJ42" s="224"/>
      <c r="BK42" s="224"/>
      <c r="BL42" s="224"/>
      <c r="BO42" s="177"/>
      <c r="BP42" s="224"/>
      <c r="BQ42" s="275"/>
      <c r="BR42" s="276"/>
      <c r="BS42" s="224"/>
      <c r="BT42" s="277"/>
      <c r="BX42" s="224"/>
      <c r="BY42" s="224"/>
      <c r="BZ42" s="177"/>
      <c r="CA42" s="177"/>
      <c r="CB42" s="177"/>
      <c r="CC42" s="177"/>
    </row>
    <row r="43" spans="1:81" ht="13.5" thickBot="1" x14ac:dyDescent="0.25">
      <c r="A43" s="303" t="s">
        <v>404</v>
      </c>
      <c r="B43" s="323">
        <v>2.5</v>
      </c>
      <c r="C43" s="292" t="s">
        <v>31</v>
      </c>
      <c r="D43" s="176">
        <f>B43/1000000000</f>
        <v>2.5000000000000001E-9</v>
      </c>
      <c r="E43" s="282" t="s">
        <v>406</v>
      </c>
      <c r="H43" s="175">
        <v>37</v>
      </c>
      <c r="I43" s="467">
        <f t="shared" si="24"/>
        <v>0.14799999999999999</v>
      </c>
      <c r="J43" s="222"/>
      <c r="K43" s="222"/>
      <c r="L43" s="222"/>
      <c r="M43" s="222"/>
      <c r="N43" s="272"/>
      <c r="O43" s="177"/>
      <c r="P43" s="222"/>
      <c r="Q43" s="453"/>
      <c r="S43" s="273"/>
      <c r="T43" s="273"/>
      <c r="U43" s="273"/>
      <c r="AJ43" s="453"/>
      <c r="AZ43" s="274"/>
      <c r="BJ43" s="224"/>
      <c r="BK43" s="224"/>
      <c r="BL43" s="224"/>
      <c r="BO43" s="177"/>
      <c r="BP43" s="224"/>
      <c r="BQ43" s="275"/>
      <c r="BR43" s="276"/>
      <c r="BS43" s="224"/>
      <c r="BT43" s="277"/>
      <c r="BX43" s="224"/>
      <c r="BY43" s="224"/>
      <c r="BZ43" s="177"/>
      <c r="CA43" s="177"/>
      <c r="CB43" s="177"/>
      <c r="CC43" s="177"/>
    </row>
    <row r="44" spans="1:81" ht="13.5" thickBot="1" x14ac:dyDescent="0.25">
      <c r="A44" s="306" t="s">
        <v>241</v>
      </c>
      <c r="B44" s="323">
        <v>50</v>
      </c>
      <c r="C44" s="292" t="s">
        <v>15</v>
      </c>
      <c r="D44" s="326">
        <f>B44/1000000000000</f>
        <v>5.0000000000000002E-11</v>
      </c>
      <c r="E44" s="282" t="s">
        <v>330</v>
      </c>
      <c r="H44" s="175">
        <v>38</v>
      </c>
      <c r="I44" s="467">
        <f t="shared" si="24"/>
        <v>0.15200000000000002</v>
      </c>
      <c r="J44" s="222"/>
      <c r="K44" s="222"/>
      <c r="L44" s="222"/>
      <c r="M44" s="222"/>
      <c r="N44" s="272"/>
      <c r="O44" s="177"/>
      <c r="P44" s="222"/>
      <c r="Q44" s="453"/>
      <c r="S44" s="273"/>
      <c r="T44" s="273"/>
      <c r="U44" s="273"/>
      <c r="AJ44" s="453"/>
      <c r="AZ44" s="274"/>
      <c r="BJ44" s="224"/>
      <c r="BK44" s="224"/>
      <c r="BL44" s="224"/>
      <c r="BO44" s="177"/>
      <c r="BP44" s="224"/>
      <c r="BQ44" s="275"/>
      <c r="BR44" s="276"/>
      <c r="BS44" s="224"/>
      <c r="BT44" s="277"/>
      <c r="BX44" s="224"/>
      <c r="BY44" s="224"/>
      <c r="BZ44" s="177"/>
      <c r="CA44" s="177"/>
      <c r="CB44" s="177"/>
      <c r="CC44" s="177"/>
    </row>
    <row r="45" spans="1:81" x14ac:dyDescent="0.2">
      <c r="A45" s="329" t="s">
        <v>329</v>
      </c>
      <c r="B45" s="323">
        <v>50</v>
      </c>
      <c r="C45" s="292" t="s">
        <v>15</v>
      </c>
      <c r="D45" s="294">
        <f>B45/1000000000000</f>
        <v>5.0000000000000002E-11</v>
      </c>
      <c r="E45" s="282" t="s">
        <v>483</v>
      </c>
      <c r="H45" s="175">
        <v>39</v>
      </c>
      <c r="I45" s="467">
        <f t="shared" si="24"/>
        <v>0.15600000000000003</v>
      </c>
      <c r="J45" s="222"/>
      <c r="K45" s="222"/>
      <c r="L45" s="222"/>
      <c r="M45" s="222"/>
      <c r="N45" s="272"/>
      <c r="O45" s="177"/>
      <c r="P45" s="222"/>
      <c r="Q45" s="453"/>
      <c r="S45" s="273"/>
      <c r="T45" s="273"/>
      <c r="U45" s="273"/>
      <c r="AJ45" s="453"/>
      <c r="AZ45" s="274"/>
      <c r="BJ45" s="224"/>
      <c r="BK45" s="224"/>
      <c r="BL45" s="224"/>
      <c r="BO45" s="177"/>
      <c r="BP45" s="224"/>
      <c r="BQ45" s="275"/>
      <c r="BR45" s="276"/>
      <c r="BS45" s="224"/>
      <c r="BT45" s="277"/>
      <c r="BX45" s="224"/>
      <c r="BY45" s="224"/>
      <c r="BZ45" s="177"/>
      <c r="CA45" s="177"/>
      <c r="CB45" s="177"/>
      <c r="CC45" s="177"/>
    </row>
    <row r="46" spans="1:81" ht="13.5" thickBot="1" x14ac:dyDescent="0.25">
      <c r="A46" s="314" t="s">
        <v>408</v>
      </c>
      <c r="B46" s="327"/>
      <c r="C46" s="314" t="s">
        <v>33</v>
      </c>
      <c r="D46" s="315" t="s">
        <v>90</v>
      </c>
      <c r="E46" s="328" t="s">
        <v>41</v>
      </c>
      <c r="H46" s="175">
        <v>40</v>
      </c>
      <c r="I46" s="467">
        <f t="shared" si="24"/>
        <v>0.16000000000000003</v>
      </c>
      <c r="J46" s="222"/>
      <c r="K46" s="222"/>
      <c r="L46" s="222"/>
      <c r="M46" s="222"/>
      <c r="N46" s="272"/>
      <c r="O46" s="177"/>
      <c r="P46" s="222"/>
      <c r="Q46" s="453"/>
      <c r="S46" s="273"/>
      <c r="T46" s="273"/>
      <c r="U46" s="273"/>
      <c r="AJ46" s="453"/>
      <c r="AZ46" s="274"/>
      <c r="BJ46" s="224"/>
      <c r="BK46" s="224"/>
      <c r="BL46" s="224"/>
      <c r="BO46" s="177"/>
      <c r="BP46" s="224"/>
      <c r="BQ46" s="275"/>
      <c r="BR46" s="276"/>
      <c r="BS46" s="224"/>
      <c r="BT46" s="277"/>
      <c r="BX46" s="224"/>
      <c r="BY46" s="224"/>
      <c r="BZ46" s="177"/>
      <c r="CA46" s="177"/>
      <c r="CB46" s="177"/>
      <c r="CC46" s="177"/>
    </row>
    <row r="47" spans="1:81" ht="13.5" thickBot="1" x14ac:dyDescent="0.25">
      <c r="A47" s="322" t="s">
        <v>669</v>
      </c>
      <c r="B47" s="323">
        <f>'Design Converter'!E41</f>
        <v>0.25</v>
      </c>
      <c r="C47" s="280" t="s">
        <v>0</v>
      </c>
      <c r="D47" s="176">
        <f>B47</f>
        <v>0.25</v>
      </c>
      <c r="E47" s="282" t="s">
        <v>668</v>
      </c>
      <c r="H47" s="175">
        <v>41</v>
      </c>
      <c r="I47" s="467">
        <f t="shared" si="24"/>
        <v>0.16400000000000001</v>
      </c>
      <c r="J47" s="222"/>
      <c r="K47" s="222"/>
      <c r="L47" s="222"/>
      <c r="M47" s="222"/>
      <c r="N47" s="272"/>
      <c r="O47" s="177"/>
      <c r="P47" s="222"/>
      <c r="Q47" s="453"/>
      <c r="S47" s="273"/>
      <c r="T47" s="273"/>
      <c r="U47" s="273"/>
      <c r="AJ47" s="453"/>
      <c r="AZ47" s="274"/>
      <c r="BJ47" s="224"/>
      <c r="BK47" s="224"/>
      <c r="BL47" s="224"/>
      <c r="BO47" s="177"/>
      <c r="BP47" s="224"/>
      <c r="BQ47" s="275"/>
      <c r="BR47" s="276"/>
      <c r="BS47" s="224"/>
      <c r="BT47" s="277"/>
      <c r="BX47" s="224"/>
      <c r="BY47" s="224"/>
      <c r="BZ47" s="177"/>
      <c r="CA47" s="177"/>
      <c r="CB47" s="177"/>
      <c r="CC47" s="177"/>
    </row>
    <row r="48" spans="1:81" ht="13.5" thickBot="1" x14ac:dyDescent="0.25">
      <c r="A48" s="322" t="s">
        <v>670</v>
      </c>
      <c r="B48" s="323">
        <f>'Design Converter'!E42</f>
        <v>0.3</v>
      </c>
      <c r="C48" s="280" t="s">
        <v>0</v>
      </c>
      <c r="D48" s="176">
        <f>B48</f>
        <v>0.3</v>
      </c>
      <c r="E48" s="282" t="s">
        <v>667</v>
      </c>
      <c r="H48" s="175">
        <v>42</v>
      </c>
      <c r="I48" s="467">
        <f t="shared" si="24"/>
        <v>0.16800000000000001</v>
      </c>
      <c r="J48" s="222"/>
      <c r="K48" s="222"/>
      <c r="L48" s="222"/>
      <c r="M48" s="222"/>
      <c r="N48" s="272"/>
      <c r="O48" s="177"/>
      <c r="P48" s="222"/>
      <c r="Q48" s="453"/>
      <c r="S48" s="273"/>
      <c r="T48" s="273"/>
      <c r="U48" s="273"/>
      <c r="AJ48" s="453"/>
      <c r="AZ48" s="274"/>
      <c r="BJ48" s="224"/>
      <c r="BK48" s="224"/>
      <c r="BL48" s="224"/>
      <c r="BO48" s="177"/>
      <c r="BP48" s="224"/>
      <c r="BQ48" s="275"/>
      <c r="BR48" s="276"/>
      <c r="BS48" s="224"/>
      <c r="BT48" s="277"/>
      <c r="BX48" s="224"/>
      <c r="BY48" s="224"/>
      <c r="BZ48" s="177"/>
      <c r="CA48" s="177"/>
      <c r="CB48" s="177"/>
      <c r="CC48" s="177"/>
    </row>
    <row r="49" spans="1:81" ht="13.5" thickBot="1" x14ac:dyDescent="0.25">
      <c r="A49" s="322" t="s">
        <v>269</v>
      </c>
      <c r="B49" s="323">
        <v>100</v>
      </c>
      <c r="C49" s="283" t="s">
        <v>259</v>
      </c>
      <c r="D49" s="176">
        <f>B49*0.001</f>
        <v>0.1</v>
      </c>
      <c r="E49" s="282" t="s">
        <v>270</v>
      </c>
      <c r="H49" s="175">
        <v>43</v>
      </c>
      <c r="I49" s="467">
        <f t="shared" si="24"/>
        <v>0.17200000000000001</v>
      </c>
      <c r="J49" s="222"/>
      <c r="K49" s="222"/>
      <c r="L49" s="222"/>
      <c r="M49" s="222"/>
      <c r="N49" s="272"/>
      <c r="O49" s="177"/>
      <c r="P49" s="222"/>
      <c r="Q49" s="453"/>
      <c r="S49" s="273"/>
      <c r="T49" s="273"/>
      <c r="U49" s="273"/>
      <c r="AJ49" s="453"/>
      <c r="AZ49" s="274"/>
      <c r="BJ49" s="224"/>
      <c r="BK49" s="224"/>
      <c r="BL49" s="224"/>
      <c r="BO49" s="177"/>
      <c r="BP49" s="224"/>
      <c r="BQ49" s="275"/>
      <c r="BR49" s="276"/>
      <c r="BS49" s="224"/>
      <c r="BT49" s="277"/>
      <c r="BX49" s="224"/>
      <c r="BY49" s="224"/>
      <c r="BZ49" s="177"/>
      <c r="CA49" s="177"/>
      <c r="CB49" s="177"/>
      <c r="CC49" s="177"/>
    </row>
    <row r="50" spans="1:81" ht="13.5" thickBot="1" x14ac:dyDescent="0.25">
      <c r="A50" s="303" t="s">
        <v>411</v>
      </c>
      <c r="B50" s="323">
        <v>2</v>
      </c>
      <c r="C50" s="292" t="s">
        <v>31</v>
      </c>
      <c r="D50" s="294">
        <f>B50*0.000000001</f>
        <v>2.0000000000000001E-9</v>
      </c>
      <c r="E50" s="282" t="s">
        <v>271</v>
      </c>
      <c r="H50" s="175">
        <v>44</v>
      </c>
      <c r="I50" s="467">
        <f t="shared" si="24"/>
        <v>0.17600000000000002</v>
      </c>
      <c r="J50" s="222"/>
      <c r="K50" s="222"/>
      <c r="L50" s="222"/>
      <c r="M50" s="222"/>
      <c r="N50" s="272"/>
      <c r="O50" s="177"/>
      <c r="P50" s="222"/>
      <c r="Q50" s="453"/>
      <c r="S50" s="273"/>
      <c r="T50" s="273"/>
      <c r="U50" s="273"/>
      <c r="AJ50" s="453"/>
      <c r="AZ50" s="274"/>
      <c r="BJ50" s="224"/>
      <c r="BK50" s="224"/>
      <c r="BL50" s="224"/>
      <c r="BO50" s="177"/>
      <c r="BP50" s="224"/>
      <c r="BQ50" s="275"/>
      <c r="BR50" s="276"/>
      <c r="BS50" s="224"/>
      <c r="BT50" s="277"/>
      <c r="BX50" s="224"/>
      <c r="BY50" s="224"/>
      <c r="BZ50" s="177"/>
      <c r="CA50" s="177"/>
      <c r="CB50" s="177"/>
      <c r="CC50" s="177"/>
    </row>
    <row r="51" spans="1:81" ht="13.5" thickBot="1" x14ac:dyDescent="0.25">
      <c r="A51" s="303" t="s">
        <v>412</v>
      </c>
      <c r="B51" s="323">
        <v>10</v>
      </c>
      <c r="C51" s="292" t="s">
        <v>32</v>
      </c>
      <c r="D51" s="294">
        <f>B51*0.000000001</f>
        <v>1E-8</v>
      </c>
      <c r="E51" s="282" t="s">
        <v>272</v>
      </c>
      <c r="H51" s="175">
        <v>45</v>
      </c>
      <c r="I51" s="467">
        <f t="shared" si="24"/>
        <v>0.18000000000000002</v>
      </c>
      <c r="J51" s="222"/>
      <c r="K51" s="222"/>
      <c r="L51" s="222"/>
      <c r="M51" s="222"/>
      <c r="N51" s="272"/>
      <c r="O51" s="177"/>
      <c r="P51" s="222"/>
      <c r="Q51" s="453"/>
      <c r="S51" s="273"/>
      <c r="T51" s="273"/>
      <c r="U51" s="273"/>
      <c r="AJ51" s="453"/>
      <c r="AZ51" s="274"/>
      <c r="BJ51" s="224"/>
      <c r="BK51" s="224"/>
      <c r="BL51" s="224"/>
      <c r="BO51" s="177"/>
      <c r="BP51" s="224"/>
      <c r="BQ51" s="275"/>
      <c r="BR51" s="276"/>
      <c r="BS51" s="224"/>
      <c r="BT51" s="277"/>
      <c r="BX51" s="224"/>
      <c r="BY51" s="224"/>
      <c r="BZ51" s="177"/>
      <c r="CA51" s="177"/>
      <c r="CB51" s="177"/>
      <c r="CC51" s="177"/>
    </row>
    <row r="52" spans="1:81" x14ac:dyDescent="0.2">
      <c r="A52" s="329" t="s">
        <v>501</v>
      </c>
      <c r="B52" s="323">
        <v>0</v>
      </c>
      <c r="C52" s="280" t="s">
        <v>273</v>
      </c>
      <c r="D52" s="294">
        <f>B52/1000000</f>
        <v>0</v>
      </c>
      <c r="E52" s="282" t="s">
        <v>274</v>
      </c>
      <c r="H52" s="175">
        <v>46</v>
      </c>
      <c r="I52" s="467">
        <f t="shared" si="24"/>
        <v>0.18400000000000002</v>
      </c>
      <c r="J52" s="222"/>
      <c r="K52" s="222"/>
      <c r="L52" s="222"/>
      <c r="M52" s="222"/>
      <c r="N52" s="272"/>
      <c r="O52" s="177"/>
      <c r="P52" s="222"/>
      <c r="Q52" s="453"/>
      <c r="S52" s="273"/>
      <c r="T52" s="273"/>
      <c r="U52" s="273"/>
      <c r="AJ52" s="453"/>
      <c r="AZ52" s="274"/>
      <c r="BJ52" s="224"/>
      <c r="BK52" s="224"/>
      <c r="BL52" s="224"/>
      <c r="BO52" s="177"/>
      <c r="BP52" s="224"/>
      <c r="BQ52" s="275"/>
      <c r="BR52" s="276"/>
      <c r="BS52" s="224"/>
      <c r="BT52" s="277"/>
      <c r="BX52" s="224"/>
      <c r="BY52" s="224"/>
      <c r="BZ52" s="177"/>
      <c r="CA52" s="177"/>
      <c r="CB52" s="177"/>
      <c r="CC52" s="177"/>
    </row>
    <row r="53" spans="1:81" x14ac:dyDescent="0.2">
      <c r="A53" s="175" t="s">
        <v>701</v>
      </c>
      <c r="B53" s="202">
        <f>'Design Converter'!E43</f>
        <v>77</v>
      </c>
      <c r="C53" s="662" t="s">
        <v>84</v>
      </c>
      <c r="D53" s="202">
        <f>B53</f>
        <v>77</v>
      </c>
      <c r="E53" s="175" t="s">
        <v>700</v>
      </c>
      <c r="H53" s="175">
        <v>47</v>
      </c>
      <c r="I53" s="467">
        <f t="shared" si="24"/>
        <v>0.188</v>
      </c>
      <c r="J53" s="222"/>
      <c r="K53" s="222"/>
      <c r="L53" s="222"/>
      <c r="M53" s="222"/>
      <c r="N53" s="272"/>
      <c r="O53" s="177"/>
      <c r="P53" s="222"/>
      <c r="Q53" s="453"/>
      <c r="S53" s="273"/>
      <c r="T53" s="273"/>
      <c r="U53" s="273"/>
      <c r="AJ53" s="453"/>
      <c r="AZ53" s="274"/>
      <c r="BJ53" s="224"/>
      <c r="BK53" s="224"/>
      <c r="BL53" s="224"/>
      <c r="BO53" s="177"/>
      <c r="BP53" s="224"/>
      <c r="BQ53" s="275"/>
      <c r="BR53" s="276"/>
      <c r="BS53" s="224"/>
      <c r="BT53" s="277"/>
      <c r="BX53" s="224"/>
      <c r="BY53" s="224"/>
      <c r="BZ53" s="177"/>
      <c r="CA53" s="177"/>
      <c r="CB53" s="177"/>
      <c r="CC53" s="177"/>
    </row>
    <row r="54" spans="1:81" x14ac:dyDescent="0.2">
      <c r="A54" s="325"/>
      <c r="H54" s="175">
        <v>48</v>
      </c>
      <c r="I54" s="467">
        <f t="shared" si="24"/>
        <v>0.192</v>
      </c>
      <c r="J54" s="222"/>
      <c r="K54" s="222"/>
      <c r="L54" s="222"/>
      <c r="M54" s="222"/>
      <c r="N54" s="272"/>
      <c r="O54" s="177"/>
      <c r="P54" s="222"/>
      <c r="Q54" s="453"/>
      <c r="S54" s="273"/>
      <c r="T54" s="273"/>
      <c r="U54" s="273"/>
      <c r="AJ54" s="453"/>
      <c r="AZ54" s="274"/>
      <c r="BJ54" s="224"/>
      <c r="BK54" s="224"/>
      <c r="BL54" s="224"/>
      <c r="BO54" s="177"/>
      <c r="BP54" s="224"/>
      <c r="BQ54" s="275"/>
      <c r="BR54" s="276"/>
      <c r="BS54" s="224"/>
      <c r="BT54" s="277"/>
      <c r="BX54" s="224"/>
      <c r="BY54" s="224"/>
      <c r="BZ54" s="177"/>
      <c r="CA54" s="177"/>
      <c r="CB54" s="177"/>
      <c r="CC54" s="177"/>
    </row>
    <row r="55" spans="1:81" x14ac:dyDescent="0.2">
      <c r="H55" s="175">
        <v>49</v>
      </c>
      <c r="I55" s="467">
        <f t="shared" si="24"/>
        <v>0.19600000000000001</v>
      </c>
      <c r="J55" s="222"/>
      <c r="K55" s="222"/>
      <c r="L55" s="222"/>
      <c r="M55" s="222"/>
      <c r="N55" s="272"/>
      <c r="O55" s="177"/>
      <c r="P55" s="222"/>
      <c r="Q55" s="453"/>
      <c r="S55" s="273"/>
      <c r="T55" s="273"/>
      <c r="U55" s="273"/>
      <c r="AJ55" s="453"/>
      <c r="AZ55" s="274"/>
      <c r="BJ55" s="224"/>
      <c r="BK55" s="224"/>
      <c r="BL55" s="224"/>
      <c r="BO55" s="177"/>
      <c r="BP55" s="224"/>
      <c r="BQ55" s="275"/>
      <c r="BR55" s="276"/>
      <c r="BS55" s="224"/>
      <c r="BT55" s="277"/>
      <c r="BX55" s="224"/>
      <c r="BY55" s="224"/>
      <c r="BZ55" s="177"/>
      <c r="CA55" s="177"/>
      <c r="CB55" s="177"/>
      <c r="CC55" s="177"/>
    </row>
    <row r="56" spans="1:81" x14ac:dyDescent="0.2">
      <c r="H56" s="175">
        <v>50</v>
      </c>
      <c r="I56" s="467">
        <f t="shared" si="24"/>
        <v>0.2</v>
      </c>
      <c r="J56" s="222"/>
      <c r="K56" s="222"/>
      <c r="L56" s="222"/>
      <c r="M56" s="222"/>
      <c r="N56" s="272"/>
      <c r="O56" s="177"/>
      <c r="P56" s="222"/>
      <c r="Q56" s="453"/>
      <c r="S56" s="273"/>
      <c r="T56" s="273"/>
      <c r="U56" s="273"/>
      <c r="AJ56" s="453"/>
      <c r="AZ56" s="274"/>
      <c r="BJ56" s="224"/>
      <c r="BK56" s="224"/>
      <c r="BL56" s="224"/>
      <c r="BO56" s="177"/>
      <c r="BP56" s="224"/>
      <c r="BQ56" s="275"/>
      <c r="BR56" s="276"/>
      <c r="BS56" s="224"/>
      <c r="BT56" s="277"/>
      <c r="BX56" s="224"/>
      <c r="BY56" s="224"/>
      <c r="BZ56" s="177"/>
      <c r="CA56" s="177"/>
      <c r="CB56" s="177"/>
      <c r="CC56" s="177"/>
    </row>
    <row r="57" spans="1:81" x14ac:dyDescent="0.2">
      <c r="H57" s="175">
        <v>51</v>
      </c>
      <c r="I57" s="467">
        <f t="shared" si="24"/>
        <v>0.20400000000000001</v>
      </c>
      <c r="J57" s="222"/>
      <c r="K57" s="222"/>
      <c r="L57" s="222"/>
      <c r="M57" s="222"/>
      <c r="N57" s="272"/>
      <c r="O57" s="177"/>
      <c r="P57" s="222"/>
      <c r="Q57" s="453"/>
      <c r="S57" s="273"/>
      <c r="T57" s="273"/>
      <c r="U57" s="273"/>
      <c r="AJ57" s="453"/>
      <c r="AZ57" s="274"/>
      <c r="BJ57" s="224"/>
      <c r="BK57" s="224"/>
      <c r="BL57" s="224"/>
      <c r="BO57" s="177"/>
      <c r="BP57" s="224"/>
      <c r="BQ57" s="275"/>
      <c r="BR57" s="276"/>
      <c r="BS57" s="224"/>
      <c r="BT57" s="277"/>
      <c r="BX57" s="224"/>
      <c r="BY57" s="224"/>
      <c r="BZ57" s="177"/>
      <c r="CA57" s="177"/>
      <c r="CB57" s="177"/>
      <c r="CC57" s="177"/>
    </row>
    <row r="58" spans="1:81" x14ac:dyDescent="0.2">
      <c r="H58" s="175">
        <v>52</v>
      </c>
      <c r="I58" s="467">
        <f t="shared" si="24"/>
        <v>0.20800000000000002</v>
      </c>
      <c r="J58" s="222"/>
      <c r="K58" s="222"/>
      <c r="L58" s="222"/>
      <c r="M58" s="222"/>
      <c r="N58" s="272"/>
      <c r="O58" s="177"/>
      <c r="P58" s="222"/>
      <c r="Q58" s="453"/>
      <c r="S58" s="273"/>
      <c r="T58" s="273"/>
      <c r="U58" s="273"/>
      <c r="AJ58" s="453"/>
      <c r="AZ58" s="274"/>
      <c r="BJ58" s="224"/>
      <c r="BK58" s="224"/>
      <c r="BL58" s="224"/>
      <c r="BO58" s="177"/>
      <c r="BP58" s="224"/>
      <c r="BQ58" s="275"/>
      <c r="BR58" s="276"/>
      <c r="BS58" s="224"/>
      <c r="BT58" s="277"/>
      <c r="BX58" s="224"/>
      <c r="BY58" s="224"/>
      <c r="BZ58" s="177"/>
      <c r="CA58" s="177"/>
      <c r="CB58" s="177"/>
      <c r="CC58" s="177"/>
    </row>
    <row r="59" spans="1:81" x14ac:dyDescent="0.2">
      <c r="H59" s="175">
        <v>53</v>
      </c>
      <c r="I59" s="467">
        <f t="shared" si="24"/>
        <v>0.21200000000000002</v>
      </c>
      <c r="J59" s="222"/>
      <c r="K59" s="222"/>
      <c r="L59" s="222"/>
      <c r="M59" s="222"/>
      <c r="N59" s="272"/>
      <c r="O59" s="177"/>
      <c r="P59" s="222"/>
      <c r="Q59" s="453"/>
      <c r="S59" s="273"/>
      <c r="T59" s="273"/>
      <c r="U59" s="273"/>
      <c r="AJ59" s="453"/>
      <c r="AZ59" s="274"/>
      <c r="BJ59" s="224"/>
      <c r="BK59" s="224"/>
      <c r="BL59" s="224"/>
      <c r="BO59" s="177"/>
      <c r="BP59" s="224"/>
      <c r="BQ59" s="275"/>
      <c r="BR59" s="276"/>
      <c r="BS59" s="224"/>
      <c r="BT59" s="277"/>
      <c r="BX59" s="224"/>
      <c r="BY59" s="224"/>
      <c r="BZ59" s="177"/>
      <c r="CA59" s="177"/>
      <c r="CB59" s="177"/>
      <c r="CC59" s="177"/>
    </row>
    <row r="60" spans="1:81" x14ac:dyDescent="0.2">
      <c r="H60" s="175">
        <v>54</v>
      </c>
      <c r="I60" s="467">
        <f t="shared" si="24"/>
        <v>0.21600000000000003</v>
      </c>
      <c r="J60" s="222"/>
      <c r="K60" s="222"/>
      <c r="L60" s="222"/>
      <c r="M60" s="222"/>
      <c r="N60" s="272"/>
      <c r="O60" s="177"/>
      <c r="P60" s="222"/>
      <c r="Q60" s="453"/>
      <c r="S60" s="273"/>
      <c r="T60" s="273"/>
      <c r="U60" s="273"/>
      <c r="AJ60" s="453"/>
      <c r="AZ60" s="274"/>
      <c r="BJ60" s="224"/>
      <c r="BK60" s="224"/>
      <c r="BL60" s="224"/>
      <c r="BO60" s="177"/>
      <c r="BP60" s="224"/>
      <c r="BQ60" s="275"/>
      <c r="BR60" s="276"/>
      <c r="BS60" s="224"/>
      <c r="BT60" s="277"/>
      <c r="BX60" s="224"/>
      <c r="BY60" s="224"/>
      <c r="BZ60" s="177"/>
      <c r="CA60" s="177"/>
      <c r="CB60" s="177"/>
      <c r="CC60" s="177"/>
    </row>
    <row r="61" spans="1:81" x14ac:dyDescent="0.2">
      <c r="H61" s="175">
        <v>55</v>
      </c>
      <c r="I61" s="467">
        <f t="shared" si="24"/>
        <v>0.22000000000000003</v>
      </c>
      <c r="J61" s="222"/>
      <c r="K61" s="222"/>
      <c r="L61" s="222"/>
      <c r="M61" s="222"/>
      <c r="N61" s="272"/>
      <c r="O61" s="177"/>
      <c r="P61" s="222"/>
      <c r="Q61" s="453"/>
      <c r="S61" s="273"/>
      <c r="T61" s="273"/>
      <c r="U61" s="273"/>
      <c r="AJ61" s="453"/>
      <c r="AZ61" s="274"/>
      <c r="BJ61" s="224"/>
      <c r="BK61" s="224"/>
      <c r="BL61" s="224"/>
      <c r="BO61" s="177"/>
      <c r="BP61" s="224"/>
      <c r="BQ61" s="275"/>
      <c r="BR61" s="276"/>
      <c r="BS61" s="224"/>
      <c r="BT61" s="277"/>
      <c r="BX61" s="224"/>
      <c r="BY61" s="224"/>
      <c r="BZ61" s="177"/>
      <c r="CA61" s="177"/>
      <c r="CB61" s="177"/>
      <c r="CC61" s="177"/>
    </row>
    <row r="62" spans="1:81" x14ac:dyDescent="0.2">
      <c r="H62" s="175">
        <v>56</v>
      </c>
      <c r="I62" s="467">
        <f t="shared" si="24"/>
        <v>0.22400000000000003</v>
      </c>
      <c r="J62" s="222"/>
      <c r="K62" s="222"/>
      <c r="L62" s="222"/>
      <c r="M62" s="222"/>
      <c r="N62" s="272"/>
      <c r="O62" s="177"/>
      <c r="P62" s="222"/>
      <c r="Q62" s="453"/>
      <c r="S62" s="273"/>
      <c r="T62" s="273"/>
      <c r="U62" s="273"/>
      <c r="AJ62" s="453"/>
      <c r="AZ62" s="274"/>
      <c r="BJ62" s="224"/>
      <c r="BK62" s="224"/>
      <c r="BL62" s="224"/>
      <c r="BO62" s="177"/>
      <c r="BP62" s="224"/>
      <c r="BQ62" s="275"/>
      <c r="BR62" s="276"/>
      <c r="BS62" s="224"/>
      <c r="BT62" s="277"/>
      <c r="BX62" s="224"/>
      <c r="BY62" s="224"/>
      <c r="BZ62" s="177"/>
      <c r="CA62" s="177"/>
      <c r="CB62" s="177"/>
      <c r="CC62" s="177"/>
    </row>
    <row r="63" spans="1:81" x14ac:dyDescent="0.2">
      <c r="F63" s="330" t="s">
        <v>275</v>
      </c>
      <c r="G63" s="330" t="s">
        <v>276</v>
      </c>
      <c r="H63" s="175">
        <v>57</v>
      </c>
      <c r="I63" s="467">
        <f t="shared" si="24"/>
        <v>0.22799999999999998</v>
      </c>
      <c r="J63" s="222"/>
      <c r="K63" s="222"/>
      <c r="L63" s="222"/>
      <c r="M63" s="222"/>
      <c r="N63" s="272"/>
      <c r="O63" s="177"/>
      <c r="P63" s="222"/>
      <c r="Q63" s="453"/>
      <c r="S63" s="273"/>
      <c r="T63" s="273"/>
      <c r="U63" s="273"/>
      <c r="AJ63" s="453"/>
      <c r="AZ63" s="274"/>
      <c r="BJ63" s="224"/>
      <c r="BK63" s="224"/>
      <c r="BL63" s="224"/>
      <c r="BO63" s="177"/>
      <c r="BP63" s="224"/>
      <c r="BQ63" s="275"/>
      <c r="BR63" s="276"/>
      <c r="BS63" s="224"/>
      <c r="BT63" s="277"/>
      <c r="BX63" s="224"/>
      <c r="BY63" s="224"/>
      <c r="BZ63" s="177"/>
      <c r="CA63" s="177"/>
      <c r="CB63" s="177"/>
      <c r="CC63" s="177"/>
    </row>
    <row r="64" spans="1:81" x14ac:dyDescent="0.2">
      <c r="F64" s="331">
        <f>BM56</f>
        <v>0</v>
      </c>
      <c r="G64" s="332">
        <f>I56*1000</f>
        <v>200</v>
      </c>
      <c r="H64" s="175">
        <v>58</v>
      </c>
      <c r="I64" s="467">
        <f t="shared" si="24"/>
        <v>0.23199999999999998</v>
      </c>
      <c r="J64" s="222"/>
      <c r="K64" s="222"/>
      <c r="L64" s="222"/>
      <c r="M64" s="222"/>
      <c r="N64" s="272"/>
      <c r="O64" s="177"/>
      <c r="P64" s="222"/>
      <c r="Q64" s="453"/>
      <c r="S64" s="273"/>
      <c r="T64" s="273"/>
      <c r="U64" s="273"/>
      <c r="AJ64" s="453"/>
      <c r="AZ64" s="274"/>
      <c r="BJ64" s="224"/>
      <c r="BK64" s="224"/>
      <c r="BL64" s="224"/>
      <c r="BO64" s="177"/>
      <c r="BP64" s="224"/>
      <c r="BQ64" s="275"/>
      <c r="BR64" s="276"/>
      <c r="BS64" s="224"/>
      <c r="BT64" s="277"/>
      <c r="BX64" s="224"/>
      <c r="BY64" s="224"/>
      <c r="BZ64" s="177"/>
      <c r="CA64" s="177"/>
      <c r="CB64" s="177"/>
      <c r="CC64" s="177"/>
    </row>
    <row r="65" spans="6:81" x14ac:dyDescent="0.2">
      <c r="F65" s="331">
        <f>BM81</f>
        <v>0</v>
      </c>
      <c r="G65" s="332">
        <f>I81*1000</f>
        <v>300.00000000000006</v>
      </c>
      <c r="H65" s="175">
        <v>59</v>
      </c>
      <c r="I65" s="467">
        <f t="shared" si="24"/>
        <v>0.23599999999999999</v>
      </c>
      <c r="J65" s="222"/>
      <c r="K65" s="222"/>
      <c r="L65" s="222"/>
      <c r="M65" s="222"/>
      <c r="N65" s="272"/>
      <c r="O65" s="177"/>
      <c r="P65" s="222"/>
      <c r="Q65" s="453"/>
      <c r="S65" s="273"/>
      <c r="T65" s="273"/>
      <c r="U65" s="273"/>
      <c r="AJ65" s="453"/>
      <c r="AZ65" s="274"/>
      <c r="BJ65" s="224"/>
      <c r="BK65" s="224"/>
      <c r="BL65" s="224"/>
      <c r="BO65" s="177"/>
      <c r="BP65" s="224"/>
      <c r="BQ65" s="275"/>
      <c r="BR65" s="276"/>
      <c r="BS65" s="224"/>
      <c r="BT65" s="277"/>
      <c r="BX65" s="224"/>
      <c r="BY65" s="224"/>
      <c r="BZ65" s="177"/>
      <c r="CA65" s="177"/>
      <c r="CB65" s="177"/>
      <c r="CC65" s="177"/>
    </row>
    <row r="66" spans="6:81" x14ac:dyDescent="0.2">
      <c r="F66" s="331">
        <f>BM106</f>
        <v>100</v>
      </c>
      <c r="G66" s="332">
        <f>I106*1000</f>
        <v>400</v>
      </c>
      <c r="H66" s="175">
        <v>60</v>
      </c>
      <c r="I66" s="467">
        <f t="shared" si="24"/>
        <v>0.24</v>
      </c>
      <c r="J66" s="222"/>
      <c r="K66" s="222"/>
      <c r="L66" s="222"/>
      <c r="M66" s="222"/>
      <c r="N66" s="272"/>
      <c r="O66" s="177"/>
      <c r="P66" s="222"/>
      <c r="Q66" s="453"/>
      <c r="S66" s="273"/>
      <c r="T66" s="273"/>
      <c r="U66" s="273"/>
      <c r="AJ66" s="453"/>
      <c r="AZ66" s="274"/>
      <c r="BJ66" s="224"/>
      <c r="BK66" s="224"/>
      <c r="BL66" s="224"/>
      <c r="BO66" s="177"/>
      <c r="BP66" s="224"/>
      <c r="BQ66" s="275"/>
      <c r="BR66" s="276"/>
      <c r="BS66" s="224"/>
      <c r="BT66" s="277"/>
      <c r="BX66" s="224"/>
      <c r="BY66" s="224"/>
      <c r="BZ66" s="177"/>
      <c r="CA66" s="177"/>
      <c r="CB66" s="177"/>
      <c r="CC66" s="177"/>
    </row>
    <row r="67" spans="6:81" x14ac:dyDescent="0.2">
      <c r="H67" s="175">
        <v>61</v>
      </c>
      <c r="I67" s="467">
        <f t="shared" si="24"/>
        <v>0.24399999999999999</v>
      </c>
      <c r="J67" s="222"/>
      <c r="K67" s="222"/>
      <c r="L67" s="222"/>
      <c r="M67" s="222"/>
      <c r="N67" s="272"/>
      <c r="O67" s="177"/>
      <c r="P67" s="222"/>
      <c r="Q67" s="453"/>
      <c r="S67" s="273"/>
      <c r="T67" s="273"/>
      <c r="U67" s="273"/>
      <c r="AJ67" s="453"/>
      <c r="AZ67" s="274"/>
      <c r="BJ67" s="224"/>
      <c r="BK67" s="224"/>
      <c r="BL67" s="224"/>
      <c r="BO67" s="177"/>
      <c r="BP67" s="224"/>
      <c r="BQ67" s="275"/>
      <c r="BR67" s="276"/>
      <c r="BS67" s="224"/>
      <c r="BT67" s="277"/>
      <c r="BX67" s="224"/>
      <c r="BY67" s="224"/>
      <c r="BZ67" s="177"/>
      <c r="CA67" s="177"/>
      <c r="CB67" s="177"/>
      <c r="CC67" s="177"/>
    </row>
    <row r="68" spans="6:81" x14ac:dyDescent="0.2">
      <c r="H68" s="175">
        <v>62</v>
      </c>
      <c r="I68" s="467">
        <f t="shared" si="24"/>
        <v>0.248</v>
      </c>
      <c r="J68" s="222"/>
      <c r="K68" s="222"/>
      <c r="L68" s="222"/>
      <c r="M68" s="222"/>
      <c r="N68" s="272"/>
      <c r="O68" s="177"/>
      <c r="P68" s="222"/>
      <c r="Q68" s="453"/>
      <c r="S68" s="273"/>
      <c r="T68" s="273"/>
      <c r="U68" s="273"/>
      <c r="AJ68" s="453"/>
      <c r="AZ68" s="274"/>
      <c r="BJ68" s="224"/>
      <c r="BK68" s="224"/>
      <c r="BL68" s="224"/>
      <c r="BO68" s="177"/>
      <c r="BP68" s="224"/>
      <c r="BQ68" s="275"/>
      <c r="BR68" s="276"/>
      <c r="BS68" s="224"/>
      <c r="BT68" s="277"/>
      <c r="BX68" s="224"/>
      <c r="BY68" s="224"/>
      <c r="BZ68" s="177"/>
      <c r="CA68" s="177"/>
      <c r="CB68" s="177"/>
      <c r="CC68" s="177"/>
    </row>
    <row r="69" spans="6:81" x14ac:dyDescent="0.2">
      <c r="H69" s="175">
        <v>63</v>
      </c>
      <c r="I69" s="467">
        <f t="shared" si="24"/>
        <v>0.252</v>
      </c>
      <c r="J69" s="222"/>
      <c r="K69" s="222"/>
      <c r="L69" s="222"/>
      <c r="M69" s="222"/>
      <c r="N69" s="272"/>
      <c r="O69" s="177"/>
      <c r="P69" s="222"/>
      <c r="Q69" s="453"/>
      <c r="S69" s="273"/>
      <c r="T69" s="273"/>
      <c r="U69" s="273"/>
      <c r="AJ69" s="453"/>
      <c r="AZ69" s="274"/>
      <c r="BJ69" s="224"/>
      <c r="BK69" s="224"/>
      <c r="BL69" s="224"/>
      <c r="BO69" s="177"/>
      <c r="BP69" s="224"/>
      <c r="BQ69" s="275"/>
      <c r="BR69" s="276"/>
      <c r="BS69" s="224"/>
      <c r="BT69" s="277"/>
      <c r="BX69" s="224"/>
      <c r="BY69" s="224"/>
      <c r="BZ69" s="177"/>
      <c r="CA69" s="177"/>
      <c r="CB69" s="177"/>
      <c r="CC69" s="177"/>
    </row>
    <row r="70" spans="6:81" x14ac:dyDescent="0.2">
      <c r="H70" s="175">
        <v>64</v>
      </c>
      <c r="I70" s="467">
        <f t="shared" ref="I70:I101" si="25">IF(PLOT_TYPE=1, H70/100*Iout_max, min_I*EXP(H70*rr/100))</f>
        <v>0.25600000000000001</v>
      </c>
      <c r="J70" s="222"/>
      <c r="K70" s="222"/>
      <c r="L70" s="222"/>
      <c r="M70" s="222"/>
      <c r="N70" s="272"/>
      <c r="O70" s="177"/>
      <c r="P70" s="222"/>
      <c r="Q70" s="453"/>
      <c r="S70" s="273"/>
      <c r="T70" s="273"/>
      <c r="U70" s="273"/>
      <c r="AJ70" s="453"/>
      <c r="AZ70" s="274"/>
      <c r="BJ70" s="224"/>
      <c r="BK70" s="224"/>
      <c r="BL70" s="224"/>
      <c r="BO70" s="177"/>
      <c r="BP70" s="224"/>
      <c r="BQ70" s="275"/>
      <c r="BR70" s="276"/>
      <c r="BS70" s="224"/>
      <c r="BT70" s="277"/>
      <c r="BX70" s="224"/>
      <c r="BY70" s="224"/>
      <c r="BZ70" s="177"/>
      <c r="CA70" s="177"/>
      <c r="CB70" s="177"/>
      <c r="CC70" s="177"/>
    </row>
    <row r="71" spans="6:81" x14ac:dyDescent="0.2">
      <c r="H71" s="175">
        <v>65</v>
      </c>
      <c r="I71" s="467">
        <f t="shared" si="25"/>
        <v>0.26</v>
      </c>
      <c r="J71" s="222"/>
      <c r="K71" s="222"/>
      <c r="L71" s="222"/>
      <c r="M71" s="222"/>
      <c r="N71" s="272"/>
      <c r="O71" s="177"/>
      <c r="P71" s="222"/>
      <c r="Q71" s="453"/>
      <c r="S71" s="273"/>
      <c r="T71" s="273"/>
      <c r="U71" s="273"/>
      <c r="AJ71" s="453"/>
      <c r="AZ71" s="274"/>
      <c r="BJ71" s="224"/>
      <c r="BK71" s="224"/>
      <c r="BL71" s="224"/>
      <c r="BO71" s="177"/>
      <c r="BP71" s="224"/>
      <c r="BQ71" s="275"/>
      <c r="BR71" s="276"/>
      <c r="BS71" s="224"/>
      <c r="BT71" s="277"/>
      <c r="BX71" s="224"/>
      <c r="BY71" s="224"/>
      <c r="BZ71" s="177"/>
      <c r="CA71" s="177"/>
      <c r="CB71" s="177"/>
      <c r="CC71" s="177"/>
    </row>
    <row r="72" spans="6:81" x14ac:dyDescent="0.2">
      <c r="H72" s="175">
        <v>66</v>
      </c>
      <c r="I72" s="467">
        <f t="shared" si="25"/>
        <v>0.26400000000000001</v>
      </c>
      <c r="J72" s="222"/>
      <c r="K72" s="222"/>
      <c r="L72" s="222"/>
      <c r="M72" s="222"/>
      <c r="N72" s="272"/>
      <c r="O72" s="177"/>
      <c r="P72" s="222"/>
      <c r="Q72" s="453"/>
      <c r="S72" s="273"/>
      <c r="T72" s="273"/>
      <c r="U72" s="273"/>
      <c r="AJ72" s="453"/>
      <c r="AZ72" s="274"/>
      <c r="BJ72" s="224"/>
      <c r="BK72" s="224"/>
      <c r="BL72" s="224"/>
      <c r="BO72" s="177"/>
      <c r="BP72" s="224"/>
      <c r="BQ72" s="275"/>
      <c r="BR72" s="276"/>
      <c r="BS72" s="224"/>
      <c r="BT72" s="277"/>
      <c r="BX72" s="224"/>
      <c r="BY72" s="224"/>
      <c r="BZ72" s="177"/>
      <c r="CA72" s="177"/>
      <c r="CB72" s="177"/>
      <c r="CC72" s="177"/>
    </row>
    <row r="73" spans="6:81" x14ac:dyDescent="0.2">
      <c r="H73" s="175">
        <v>67</v>
      </c>
      <c r="I73" s="467">
        <f t="shared" si="25"/>
        <v>0.26800000000000002</v>
      </c>
      <c r="J73" s="222"/>
      <c r="K73" s="222"/>
      <c r="L73" s="222"/>
      <c r="M73" s="222"/>
      <c r="N73" s="272"/>
      <c r="O73" s="177"/>
      <c r="P73" s="222"/>
      <c r="Q73" s="453"/>
      <c r="S73" s="273"/>
      <c r="T73" s="273"/>
      <c r="U73" s="273"/>
      <c r="AJ73" s="453"/>
      <c r="AZ73" s="274"/>
      <c r="BJ73" s="224"/>
      <c r="BK73" s="224"/>
      <c r="BL73" s="224"/>
      <c r="BO73" s="177"/>
      <c r="BP73" s="224"/>
      <c r="BQ73" s="275"/>
      <c r="BR73" s="276"/>
      <c r="BS73" s="224"/>
      <c r="BT73" s="277"/>
      <c r="BX73" s="224"/>
      <c r="BY73" s="224"/>
      <c r="BZ73" s="177"/>
      <c r="CA73" s="177"/>
      <c r="CB73" s="177"/>
      <c r="CC73" s="177"/>
    </row>
    <row r="74" spans="6:81" x14ac:dyDescent="0.2">
      <c r="H74" s="175">
        <v>68</v>
      </c>
      <c r="I74" s="467">
        <f t="shared" si="25"/>
        <v>0.27200000000000002</v>
      </c>
      <c r="J74" s="222"/>
      <c r="K74" s="222"/>
      <c r="L74" s="222"/>
      <c r="M74" s="222"/>
      <c r="N74" s="272"/>
      <c r="O74" s="177"/>
      <c r="P74" s="222"/>
      <c r="Q74" s="453"/>
      <c r="S74" s="273"/>
      <c r="T74" s="273"/>
      <c r="U74" s="273"/>
      <c r="AJ74" s="453"/>
      <c r="AZ74" s="274"/>
      <c r="BJ74" s="224"/>
      <c r="BK74" s="224"/>
      <c r="BL74" s="224"/>
      <c r="BO74" s="177"/>
      <c r="BP74" s="224"/>
      <c r="BQ74" s="275"/>
      <c r="BR74" s="276"/>
      <c r="BS74" s="224"/>
      <c r="BT74" s="277"/>
      <c r="BX74" s="224"/>
      <c r="BY74" s="224"/>
      <c r="BZ74" s="177"/>
      <c r="CA74" s="177"/>
      <c r="CB74" s="177"/>
      <c r="CC74" s="177"/>
    </row>
    <row r="75" spans="6:81" x14ac:dyDescent="0.2">
      <c r="H75" s="175">
        <v>69</v>
      </c>
      <c r="I75" s="467">
        <f t="shared" si="25"/>
        <v>0.27599999999999997</v>
      </c>
      <c r="J75" s="222"/>
      <c r="K75" s="222"/>
      <c r="L75" s="222"/>
      <c r="M75" s="222"/>
      <c r="N75" s="272"/>
      <c r="O75" s="177"/>
      <c r="P75" s="222"/>
      <c r="Q75" s="453"/>
      <c r="S75" s="273"/>
      <c r="T75" s="273"/>
      <c r="U75" s="273"/>
      <c r="AJ75" s="453"/>
      <c r="AZ75" s="274"/>
      <c r="BJ75" s="224"/>
      <c r="BK75" s="224"/>
      <c r="BL75" s="224"/>
      <c r="BO75" s="177"/>
      <c r="BP75" s="224"/>
      <c r="BQ75" s="275"/>
      <c r="BR75" s="276"/>
      <c r="BS75" s="224"/>
      <c r="BT75" s="277"/>
      <c r="BX75" s="224"/>
      <c r="BY75" s="224"/>
      <c r="BZ75" s="177"/>
      <c r="CA75" s="177"/>
      <c r="CB75" s="177"/>
      <c r="CC75" s="177"/>
    </row>
    <row r="76" spans="6:81" x14ac:dyDescent="0.2">
      <c r="H76" s="175">
        <v>70</v>
      </c>
      <c r="I76" s="467">
        <f t="shared" si="25"/>
        <v>0.27999999999999997</v>
      </c>
      <c r="J76" s="222"/>
      <c r="K76" s="222"/>
      <c r="L76" s="222"/>
      <c r="M76" s="222"/>
      <c r="N76" s="272"/>
      <c r="O76" s="177"/>
      <c r="P76" s="222"/>
      <c r="Q76" s="453"/>
      <c r="S76" s="273"/>
      <c r="T76" s="273"/>
      <c r="U76" s="273"/>
      <c r="AJ76" s="453"/>
      <c r="AZ76" s="274"/>
      <c r="BJ76" s="224"/>
      <c r="BK76" s="224"/>
      <c r="BL76" s="224"/>
      <c r="BO76" s="177"/>
      <c r="BP76" s="224"/>
      <c r="BQ76" s="275"/>
      <c r="BR76" s="276"/>
      <c r="BS76" s="224"/>
      <c r="BT76" s="277"/>
      <c r="BX76" s="224"/>
      <c r="BY76" s="224"/>
      <c r="BZ76" s="177"/>
      <c r="CA76" s="177"/>
      <c r="CB76" s="177"/>
      <c r="CC76" s="177"/>
    </row>
    <row r="77" spans="6:81" x14ac:dyDescent="0.2">
      <c r="H77" s="175">
        <v>71</v>
      </c>
      <c r="I77" s="467">
        <f t="shared" si="25"/>
        <v>0.28399999999999997</v>
      </c>
      <c r="J77" s="222"/>
      <c r="K77" s="222"/>
      <c r="L77" s="222"/>
      <c r="M77" s="222"/>
      <c r="N77" s="272"/>
      <c r="O77" s="177"/>
      <c r="P77" s="222"/>
      <c r="Q77" s="453"/>
      <c r="S77" s="273"/>
      <c r="T77" s="273"/>
      <c r="U77" s="273"/>
      <c r="AJ77" s="453"/>
      <c r="AZ77" s="274"/>
      <c r="BJ77" s="224"/>
      <c r="BK77" s="224"/>
      <c r="BL77" s="224"/>
      <c r="BO77" s="177"/>
      <c r="BP77" s="224"/>
      <c r="BQ77" s="275"/>
      <c r="BR77" s="276"/>
      <c r="BS77" s="224"/>
      <c r="BT77" s="277"/>
      <c r="BX77" s="224"/>
      <c r="BY77" s="224"/>
      <c r="BZ77" s="177"/>
      <c r="CA77" s="177"/>
      <c r="CB77" s="177"/>
      <c r="CC77" s="177"/>
    </row>
    <row r="78" spans="6:81" x14ac:dyDescent="0.2">
      <c r="H78" s="175">
        <v>72</v>
      </c>
      <c r="I78" s="467">
        <f t="shared" si="25"/>
        <v>0.28799999999999998</v>
      </c>
      <c r="J78" s="222"/>
      <c r="K78" s="222"/>
      <c r="L78" s="222"/>
      <c r="M78" s="222"/>
      <c r="N78" s="272"/>
      <c r="O78" s="177"/>
      <c r="P78" s="222"/>
      <c r="Q78" s="453"/>
      <c r="S78" s="273"/>
      <c r="T78" s="273"/>
      <c r="U78" s="273"/>
      <c r="AJ78" s="453"/>
      <c r="AZ78" s="274"/>
      <c r="BJ78" s="224"/>
      <c r="BK78" s="224"/>
      <c r="BL78" s="224"/>
      <c r="BO78" s="177"/>
      <c r="BP78" s="224"/>
      <c r="BQ78" s="275"/>
      <c r="BR78" s="276"/>
      <c r="BS78" s="224"/>
      <c r="BT78" s="277"/>
      <c r="BX78" s="224"/>
      <c r="BY78" s="224"/>
      <c r="BZ78" s="177"/>
      <c r="CA78" s="177"/>
      <c r="CB78" s="177"/>
      <c r="CC78" s="177"/>
    </row>
    <row r="79" spans="6:81" x14ac:dyDescent="0.2">
      <c r="H79" s="175">
        <v>73</v>
      </c>
      <c r="I79" s="467">
        <f t="shared" si="25"/>
        <v>0.29199999999999998</v>
      </c>
      <c r="J79" s="222"/>
      <c r="K79" s="222"/>
      <c r="L79" s="222"/>
      <c r="M79" s="222"/>
      <c r="N79" s="272"/>
      <c r="O79" s="177"/>
      <c r="P79" s="222"/>
      <c r="Q79" s="453"/>
      <c r="S79" s="273"/>
      <c r="T79" s="273"/>
      <c r="U79" s="273"/>
      <c r="AJ79" s="453"/>
      <c r="AZ79" s="274"/>
      <c r="BJ79" s="224"/>
      <c r="BK79" s="224"/>
      <c r="BL79" s="224"/>
      <c r="BO79" s="177"/>
      <c r="BP79" s="224"/>
      <c r="BQ79" s="275"/>
      <c r="BR79" s="276"/>
      <c r="BS79" s="224"/>
      <c r="BT79" s="277"/>
      <c r="BX79" s="224"/>
      <c r="BY79" s="224"/>
      <c r="BZ79" s="177"/>
      <c r="CA79" s="177"/>
      <c r="CB79" s="177"/>
      <c r="CC79" s="177"/>
    </row>
    <row r="80" spans="6:81" x14ac:dyDescent="0.2">
      <c r="H80" s="175">
        <v>74</v>
      </c>
      <c r="I80" s="467">
        <f t="shared" si="25"/>
        <v>0.29599999999999999</v>
      </c>
      <c r="J80" s="222"/>
      <c r="K80" s="222"/>
      <c r="L80" s="222"/>
      <c r="M80" s="222"/>
      <c r="N80" s="272"/>
      <c r="O80" s="177"/>
      <c r="P80" s="222"/>
      <c r="Q80" s="453"/>
      <c r="S80" s="273"/>
      <c r="T80" s="273"/>
      <c r="U80" s="273"/>
      <c r="AJ80" s="453"/>
      <c r="AZ80" s="274"/>
      <c r="BJ80" s="224"/>
      <c r="BK80" s="224"/>
      <c r="BL80" s="224"/>
      <c r="BO80" s="177"/>
      <c r="BP80" s="224"/>
      <c r="BQ80" s="275"/>
      <c r="BR80" s="276"/>
      <c r="BS80" s="224"/>
      <c r="BT80" s="277"/>
      <c r="BX80" s="224"/>
      <c r="BY80" s="224"/>
      <c r="BZ80" s="177"/>
      <c r="CA80" s="177"/>
      <c r="CB80" s="177"/>
      <c r="CC80" s="177"/>
    </row>
    <row r="81" spans="6:81" x14ac:dyDescent="0.2">
      <c r="H81" s="175">
        <v>75</v>
      </c>
      <c r="I81" s="467">
        <f t="shared" si="25"/>
        <v>0.30000000000000004</v>
      </c>
      <c r="J81" s="222"/>
      <c r="K81" s="222"/>
      <c r="L81" s="222"/>
      <c r="M81" s="222"/>
      <c r="N81" s="272"/>
      <c r="O81" s="177"/>
      <c r="P81" s="222"/>
      <c r="Q81" s="453"/>
      <c r="S81" s="273"/>
      <c r="T81" s="273"/>
      <c r="U81" s="273"/>
      <c r="AJ81" s="453"/>
      <c r="AZ81" s="274"/>
      <c r="BJ81" s="224"/>
      <c r="BK81" s="224"/>
      <c r="BL81" s="224"/>
      <c r="BO81" s="177"/>
      <c r="BP81" s="224"/>
      <c r="BQ81" s="275"/>
      <c r="BR81" s="276"/>
      <c r="BS81" s="224"/>
      <c r="BT81" s="277"/>
      <c r="BX81" s="224"/>
      <c r="BY81" s="224"/>
      <c r="BZ81" s="177"/>
      <c r="CA81" s="177"/>
      <c r="CB81" s="177"/>
      <c r="CC81" s="177"/>
    </row>
    <row r="82" spans="6:81" x14ac:dyDescent="0.2">
      <c r="H82" s="175">
        <v>76</v>
      </c>
      <c r="I82" s="467">
        <f t="shared" si="25"/>
        <v>0.30400000000000005</v>
      </c>
      <c r="J82" s="222"/>
      <c r="K82" s="222"/>
      <c r="L82" s="222"/>
      <c r="M82" s="222"/>
      <c r="N82" s="272"/>
      <c r="O82" s="177"/>
      <c r="P82" s="222"/>
      <c r="Q82" s="453"/>
      <c r="S82" s="273"/>
      <c r="T82" s="273"/>
      <c r="U82" s="273"/>
      <c r="AJ82" s="453"/>
      <c r="AZ82" s="274"/>
      <c r="BJ82" s="224"/>
      <c r="BK82" s="224"/>
      <c r="BL82" s="224"/>
      <c r="BO82" s="177"/>
      <c r="BP82" s="224"/>
      <c r="BQ82" s="275"/>
      <c r="BR82" s="276"/>
      <c r="BS82" s="224"/>
      <c r="BT82" s="277"/>
      <c r="BX82" s="224"/>
      <c r="BY82" s="224"/>
      <c r="BZ82" s="177"/>
      <c r="CA82" s="177"/>
      <c r="CB82" s="177"/>
      <c r="CC82" s="177"/>
    </row>
    <row r="83" spans="6:81" x14ac:dyDescent="0.2">
      <c r="H83" s="175">
        <v>77</v>
      </c>
      <c r="I83" s="467">
        <f t="shared" si="25"/>
        <v>0.30800000000000005</v>
      </c>
      <c r="J83" s="222"/>
      <c r="K83" s="222"/>
      <c r="L83" s="222"/>
      <c r="M83" s="222"/>
      <c r="N83" s="272"/>
      <c r="O83" s="177"/>
      <c r="P83" s="222"/>
      <c r="Q83" s="453"/>
      <c r="S83" s="273"/>
      <c r="T83" s="273"/>
      <c r="U83" s="273"/>
      <c r="AJ83" s="453"/>
      <c r="AZ83" s="274"/>
      <c r="BJ83" s="224"/>
      <c r="BK83" s="224"/>
      <c r="BL83" s="224"/>
      <c r="BO83" s="177"/>
      <c r="BP83" s="224"/>
      <c r="BQ83" s="275"/>
      <c r="BR83" s="276"/>
      <c r="BS83" s="224"/>
      <c r="BT83" s="277"/>
      <c r="BX83" s="224"/>
      <c r="BY83" s="224"/>
      <c r="BZ83" s="177"/>
      <c r="CA83" s="177"/>
      <c r="CB83" s="177"/>
      <c r="CC83" s="177"/>
    </row>
    <row r="84" spans="6:81" x14ac:dyDescent="0.2">
      <c r="H84" s="175">
        <v>78</v>
      </c>
      <c r="I84" s="467">
        <f t="shared" si="25"/>
        <v>0.31200000000000006</v>
      </c>
      <c r="J84" s="222"/>
      <c r="K84" s="222"/>
      <c r="L84" s="222"/>
      <c r="M84" s="222"/>
      <c r="N84" s="272"/>
      <c r="O84" s="177"/>
      <c r="P84" s="222"/>
      <c r="Q84" s="453"/>
      <c r="S84" s="273"/>
      <c r="T84" s="273"/>
      <c r="U84" s="273"/>
      <c r="AJ84" s="453"/>
      <c r="AZ84" s="274"/>
      <c r="BJ84" s="224"/>
      <c r="BK84" s="224"/>
      <c r="BL84" s="224"/>
      <c r="BO84" s="177"/>
      <c r="BP84" s="224"/>
      <c r="BQ84" s="275"/>
      <c r="BR84" s="276"/>
      <c r="BS84" s="224"/>
      <c r="BT84" s="277"/>
      <c r="BX84" s="224"/>
      <c r="BY84" s="224"/>
      <c r="BZ84" s="177"/>
      <c r="CA84" s="177"/>
      <c r="CB84" s="177"/>
      <c r="CC84" s="177"/>
    </row>
    <row r="85" spans="6:81" x14ac:dyDescent="0.2">
      <c r="H85" s="175">
        <v>79</v>
      </c>
      <c r="I85" s="467">
        <f t="shared" si="25"/>
        <v>0.31600000000000006</v>
      </c>
      <c r="J85" s="222"/>
      <c r="K85" s="222"/>
      <c r="L85" s="222"/>
      <c r="M85" s="222"/>
      <c r="N85" s="272"/>
      <c r="O85" s="177"/>
      <c r="P85" s="222"/>
      <c r="Q85" s="453"/>
      <c r="S85" s="273"/>
      <c r="T85" s="273"/>
      <c r="U85" s="273"/>
      <c r="AJ85" s="453"/>
      <c r="AZ85" s="274"/>
      <c r="BJ85" s="224"/>
      <c r="BK85" s="224"/>
      <c r="BL85" s="224"/>
      <c r="BO85" s="177"/>
      <c r="BP85" s="224"/>
      <c r="BQ85" s="275"/>
      <c r="BR85" s="276"/>
      <c r="BS85" s="224"/>
      <c r="BT85" s="277"/>
      <c r="BX85" s="224"/>
      <c r="BY85" s="224"/>
      <c r="BZ85" s="177"/>
      <c r="CA85" s="177"/>
      <c r="CB85" s="177"/>
      <c r="CC85" s="177"/>
    </row>
    <row r="86" spans="6:81" x14ac:dyDescent="0.2">
      <c r="H86" s="175">
        <v>80</v>
      </c>
      <c r="I86" s="467">
        <f t="shared" si="25"/>
        <v>0.32000000000000006</v>
      </c>
      <c r="J86" s="222"/>
      <c r="K86" s="222"/>
      <c r="L86" s="222"/>
      <c r="M86" s="222"/>
      <c r="N86" s="272"/>
      <c r="O86" s="177"/>
      <c r="P86" s="222"/>
      <c r="Q86" s="453"/>
      <c r="S86" s="273"/>
      <c r="T86" s="273"/>
      <c r="U86" s="273"/>
      <c r="AJ86" s="453"/>
      <c r="AZ86" s="274"/>
      <c r="BJ86" s="224"/>
      <c r="BK86" s="224"/>
      <c r="BL86" s="224"/>
      <c r="BO86" s="177"/>
      <c r="BP86" s="224"/>
      <c r="BQ86" s="275"/>
      <c r="BR86" s="276"/>
      <c r="BS86" s="224"/>
      <c r="BT86" s="277"/>
      <c r="BX86" s="224"/>
      <c r="BY86" s="224"/>
      <c r="BZ86" s="177"/>
      <c r="CA86" s="177"/>
      <c r="CB86" s="177"/>
      <c r="CC86" s="177"/>
    </row>
    <row r="87" spans="6:81" x14ac:dyDescent="0.2">
      <c r="H87" s="175">
        <v>81</v>
      </c>
      <c r="I87" s="467">
        <f t="shared" si="25"/>
        <v>0.32400000000000007</v>
      </c>
      <c r="J87" s="222"/>
      <c r="K87" s="222"/>
      <c r="L87" s="222"/>
      <c r="M87" s="222"/>
      <c r="N87" s="272"/>
      <c r="O87" s="177"/>
      <c r="P87" s="222"/>
      <c r="Q87" s="453"/>
      <c r="S87" s="273"/>
      <c r="T87" s="273"/>
      <c r="U87" s="273"/>
      <c r="AJ87" s="453"/>
      <c r="AZ87" s="274"/>
      <c r="BJ87" s="224"/>
      <c r="BK87" s="224"/>
      <c r="BL87" s="224"/>
      <c r="BO87" s="177"/>
      <c r="BP87" s="224"/>
      <c r="BQ87" s="275"/>
      <c r="BR87" s="276"/>
      <c r="BS87" s="224"/>
      <c r="BT87" s="277"/>
      <c r="BX87" s="224"/>
      <c r="BY87" s="224"/>
      <c r="BZ87" s="177"/>
      <c r="CA87" s="177"/>
      <c r="CB87" s="177"/>
      <c r="CC87" s="177"/>
    </row>
    <row r="88" spans="6:81" x14ac:dyDescent="0.2">
      <c r="F88" s="330" t="s">
        <v>275</v>
      </c>
      <c r="G88" s="330" t="s">
        <v>276</v>
      </c>
      <c r="H88" s="175">
        <v>82</v>
      </c>
      <c r="I88" s="467">
        <f t="shared" si="25"/>
        <v>0.32800000000000001</v>
      </c>
      <c r="J88" s="222"/>
      <c r="K88" s="222"/>
      <c r="L88" s="222"/>
      <c r="M88" s="222"/>
      <c r="N88" s="272"/>
      <c r="O88" s="177"/>
      <c r="P88" s="222"/>
      <c r="Q88" s="453"/>
      <c r="S88" s="273"/>
      <c r="T88" s="273"/>
      <c r="U88" s="273"/>
      <c r="AJ88" s="453"/>
      <c r="AZ88" s="274"/>
      <c r="BJ88" s="224"/>
      <c r="BK88" s="224"/>
      <c r="BL88" s="224"/>
      <c r="BO88" s="177"/>
      <c r="BP88" s="224"/>
      <c r="BQ88" s="275"/>
      <c r="BR88" s="276"/>
      <c r="BS88" s="224"/>
      <c r="BT88" s="277"/>
      <c r="BX88" s="224"/>
      <c r="BY88" s="224"/>
      <c r="BZ88" s="177"/>
      <c r="CA88" s="177"/>
      <c r="CB88" s="177"/>
      <c r="CC88" s="177"/>
    </row>
    <row r="89" spans="6:81" x14ac:dyDescent="0.2">
      <c r="F89" s="331">
        <f>BO51</f>
        <v>0</v>
      </c>
      <c r="G89" s="332">
        <f>I56*1000</f>
        <v>200</v>
      </c>
      <c r="H89" s="175">
        <v>83</v>
      </c>
      <c r="I89" s="467">
        <f t="shared" si="25"/>
        <v>0.33200000000000002</v>
      </c>
      <c r="J89" s="222"/>
      <c r="K89" s="222"/>
      <c r="L89" s="222"/>
      <c r="M89" s="222"/>
      <c r="N89" s="272"/>
      <c r="O89" s="177"/>
      <c r="P89" s="222"/>
      <c r="Q89" s="453"/>
      <c r="S89" s="273"/>
      <c r="T89" s="273"/>
      <c r="U89" s="273"/>
      <c r="AJ89" s="453"/>
      <c r="AZ89" s="274"/>
      <c r="BJ89" s="224"/>
      <c r="BK89" s="224"/>
      <c r="BL89" s="224"/>
      <c r="BO89" s="177"/>
      <c r="BP89" s="224"/>
      <c r="BQ89" s="275"/>
      <c r="BR89" s="276"/>
      <c r="BS89" s="224"/>
      <c r="BT89" s="277"/>
      <c r="BX89" s="224"/>
      <c r="BY89" s="224"/>
      <c r="BZ89" s="177"/>
      <c r="CA89" s="177"/>
      <c r="CB89" s="177"/>
      <c r="CC89" s="177"/>
    </row>
    <row r="90" spans="6:81" x14ac:dyDescent="0.2">
      <c r="F90" s="331">
        <f>BO81</f>
        <v>0</v>
      </c>
      <c r="G90" s="332">
        <f>I81*1000</f>
        <v>300.00000000000006</v>
      </c>
      <c r="H90" s="175">
        <v>84</v>
      </c>
      <c r="I90" s="467">
        <f t="shared" si="25"/>
        <v>0.33600000000000002</v>
      </c>
      <c r="J90" s="222"/>
      <c r="K90" s="222"/>
      <c r="L90" s="222"/>
      <c r="M90" s="222"/>
      <c r="N90" s="272"/>
      <c r="O90" s="177"/>
      <c r="P90" s="222"/>
      <c r="Q90" s="453"/>
      <c r="S90" s="273"/>
      <c r="T90" s="273"/>
      <c r="U90" s="273"/>
      <c r="AJ90" s="453"/>
      <c r="AZ90" s="274"/>
      <c r="BJ90" s="224"/>
      <c r="BK90" s="224"/>
      <c r="BL90" s="224"/>
      <c r="BO90" s="177"/>
      <c r="BP90" s="224"/>
      <c r="BQ90" s="275"/>
      <c r="BR90" s="276"/>
      <c r="BS90" s="224"/>
      <c r="BT90" s="277"/>
      <c r="BX90" s="224"/>
      <c r="BY90" s="224"/>
      <c r="BZ90" s="177"/>
      <c r="CA90" s="177"/>
      <c r="CB90" s="177"/>
      <c r="CC90" s="177"/>
    </row>
    <row r="91" spans="6:81" x14ac:dyDescent="0.2">
      <c r="F91" s="331">
        <f>BO106</f>
        <v>88.698181382326453</v>
      </c>
      <c r="G91" s="332">
        <f>I106*1000</f>
        <v>400</v>
      </c>
      <c r="H91" s="175">
        <v>85</v>
      </c>
      <c r="I91" s="467">
        <f t="shared" si="25"/>
        <v>0.34</v>
      </c>
      <c r="J91" s="222"/>
      <c r="K91" s="222"/>
      <c r="L91" s="222"/>
      <c r="M91" s="222"/>
      <c r="N91" s="272"/>
      <c r="O91" s="177"/>
      <c r="P91" s="222"/>
      <c r="Q91" s="453"/>
      <c r="S91" s="273"/>
      <c r="T91" s="273"/>
      <c r="U91" s="273"/>
      <c r="AJ91" s="453"/>
      <c r="AZ91" s="274"/>
      <c r="BJ91" s="224"/>
      <c r="BK91" s="224"/>
      <c r="BL91" s="224"/>
      <c r="BO91" s="177"/>
      <c r="BP91" s="224"/>
      <c r="BQ91" s="275"/>
      <c r="BR91" s="276"/>
      <c r="BS91" s="224"/>
      <c r="BT91" s="277"/>
      <c r="BX91" s="224"/>
      <c r="BY91" s="224"/>
      <c r="BZ91" s="177"/>
      <c r="CA91" s="177"/>
      <c r="CB91" s="177"/>
      <c r="CC91" s="177"/>
    </row>
    <row r="92" spans="6:81" x14ac:dyDescent="0.2">
      <c r="H92" s="175">
        <v>86</v>
      </c>
      <c r="I92" s="467">
        <f t="shared" si="25"/>
        <v>0.34400000000000003</v>
      </c>
      <c r="J92" s="222"/>
      <c r="K92" s="222"/>
      <c r="L92" s="222"/>
      <c r="M92" s="222"/>
      <c r="N92" s="272"/>
      <c r="O92" s="177"/>
      <c r="P92" s="222"/>
      <c r="Q92" s="453"/>
      <c r="S92" s="273"/>
      <c r="T92" s="273"/>
      <c r="U92" s="273"/>
      <c r="AJ92" s="453"/>
      <c r="AZ92" s="274"/>
      <c r="BJ92" s="224"/>
      <c r="BK92" s="224"/>
      <c r="BL92" s="224"/>
      <c r="BO92" s="177"/>
      <c r="BP92" s="224"/>
      <c r="BQ92" s="275"/>
      <c r="BR92" s="276"/>
      <c r="BS92" s="224"/>
      <c r="BT92" s="277"/>
      <c r="BX92" s="224"/>
      <c r="BY92" s="224"/>
      <c r="BZ92" s="177"/>
      <c r="CA92" s="177"/>
      <c r="CB92" s="177"/>
      <c r="CC92" s="177"/>
    </row>
    <row r="93" spans="6:81" x14ac:dyDescent="0.2">
      <c r="H93" s="175">
        <v>87</v>
      </c>
      <c r="I93" s="467">
        <f t="shared" si="25"/>
        <v>0.34800000000000003</v>
      </c>
      <c r="J93" s="222"/>
      <c r="K93" s="222"/>
      <c r="L93" s="222"/>
      <c r="M93" s="222"/>
      <c r="N93" s="272"/>
      <c r="O93" s="177"/>
      <c r="P93" s="222"/>
      <c r="Q93" s="453"/>
      <c r="S93" s="273"/>
      <c r="T93" s="273"/>
      <c r="U93" s="273"/>
      <c r="AJ93" s="453"/>
      <c r="AZ93" s="274"/>
      <c r="BJ93" s="224"/>
      <c r="BK93" s="224"/>
      <c r="BL93" s="224"/>
      <c r="BO93" s="177"/>
      <c r="BP93" s="224"/>
      <c r="BQ93" s="275"/>
      <c r="BR93" s="276"/>
      <c r="BS93" s="224"/>
      <c r="BT93" s="277"/>
      <c r="BX93" s="224"/>
      <c r="BY93" s="224"/>
      <c r="BZ93" s="177"/>
      <c r="CA93" s="177"/>
      <c r="CB93" s="177"/>
      <c r="CC93" s="177"/>
    </row>
    <row r="94" spans="6:81" x14ac:dyDescent="0.2">
      <c r="H94" s="175">
        <v>88</v>
      </c>
      <c r="I94" s="467">
        <f t="shared" si="25"/>
        <v>0.35200000000000004</v>
      </c>
      <c r="J94" s="222"/>
      <c r="K94" s="222"/>
      <c r="L94" s="222"/>
      <c r="M94" s="222"/>
      <c r="N94" s="272"/>
      <c r="O94" s="177"/>
      <c r="P94" s="222"/>
      <c r="Q94" s="453"/>
      <c r="S94" s="273"/>
      <c r="T94" s="273"/>
      <c r="U94" s="273"/>
      <c r="AJ94" s="453"/>
      <c r="AZ94" s="274"/>
      <c r="BJ94" s="224"/>
      <c r="BK94" s="224"/>
      <c r="BL94" s="224"/>
      <c r="BO94" s="177"/>
      <c r="BP94" s="224"/>
      <c r="BQ94" s="275"/>
      <c r="BR94" s="276"/>
      <c r="BS94" s="224"/>
      <c r="BT94" s="277"/>
      <c r="BX94" s="224"/>
      <c r="BY94" s="224"/>
      <c r="BZ94" s="177"/>
      <c r="CA94" s="177"/>
      <c r="CB94" s="177"/>
      <c r="CC94" s="177"/>
    </row>
    <row r="95" spans="6:81" x14ac:dyDescent="0.2">
      <c r="H95" s="175">
        <v>89</v>
      </c>
      <c r="I95" s="467">
        <f t="shared" si="25"/>
        <v>0.35600000000000004</v>
      </c>
      <c r="J95" s="222"/>
      <c r="K95" s="222"/>
      <c r="L95" s="222"/>
      <c r="M95" s="222"/>
      <c r="N95" s="272"/>
      <c r="O95" s="177"/>
      <c r="P95" s="222"/>
      <c r="Q95" s="453"/>
      <c r="S95" s="273"/>
      <c r="T95" s="273"/>
      <c r="U95" s="273"/>
      <c r="AJ95" s="453"/>
      <c r="AZ95" s="274"/>
      <c r="BJ95" s="224"/>
      <c r="BK95" s="224"/>
      <c r="BL95" s="224"/>
      <c r="BO95" s="177"/>
      <c r="BP95" s="224"/>
      <c r="BQ95" s="275"/>
      <c r="BR95" s="276"/>
      <c r="BS95" s="224"/>
      <c r="BT95" s="277"/>
      <c r="BX95" s="224"/>
      <c r="BY95" s="224"/>
      <c r="BZ95" s="177"/>
      <c r="CA95" s="177"/>
      <c r="CB95" s="177"/>
      <c r="CC95" s="177"/>
    </row>
    <row r="96" spans="6:81" x14ac:dyDescent="0.2">
      <c r="H96" s="175">
        <v>90</v>
      </c>
      <c r="I96" s="467">
        <f t="shared" si="25"/>
        <v>0.36000000000000004</v>
      </c>
      <c r="J96" s="222"/>
      <c r="K96" s="222"/>
      <c r="L96" s="222"/>
      <c r="M96" s="222"/>
      <c r="N96" s="272"/>
      <c r="O96" s="177"/>
      <c r="P96" s="222"/>
      <c r="Q96" s="453"/>
      <c r="S96" s="273"/>
      <c r="T96" s="273"/>
      <c r="U96" s="273"/>
      <c r="AJ96" s="453"/>
      <c r="AZ96" s="274"/>
      <c r="BJ96" s="224"/>
      <c r="BK96" s="224"/>
      <c r="BL96" s="224"/>
      <c r="BO96" s="177"/>
      <c r="BP96" s="224"/>
      <c r="BQ96" s="275"/>
      <c r="BR96" s="276"/>
      <c r="BS96" s="224"/>
      <c r="BT96" s="277"/>
      <c r="BX96" s="224"/>
      <c r="BY96" s="224"/>
      <c r="BZ96" s="177"/>
      <c r="CA96" s="177"/>
      <c r="CB96" s="177"/>
      <c r="CC96" s="177"/>
    </row>
    <row r="97" spans="8:81" x14ac:dyDescent="0.2">
      <c r="H97" s="175">
        <v>91</v>
      </c>
      <c r="I97" s="467">
        <f t="shared" si="25"/>
        <v>0.36400000000000005</v>
      </c>
      <c r="J97" s="222"/>
      <c r="K97" s="222"/>
      <c r="L97" s="222"/>
      <c r="M97" s="222"/>
      <c r="N97" s="272"/>
      <c r="O97" s="177"/>
      <c r="P97" s="222"/>
      <c r="Q97" s="453"/>
      <c r="S97" s="273"/>
      <c r="T97" s="273"/>
      <c r="U97" s="273"/>
      <c r="AJ97" s="453"/>
      <c r="AZ97" s="274"/>
      <c r="BJ97" s="224"/>
      <c r="BK97" s="224"/>
      <c r="BL97" s="224"/>
      <c r="BO97" s="177"/>
      <c r="BP97" s="224"/>
      <c r="BQ97" s="275"/>
      <c r="BR97" s="276"/>
      <c r="BS97" s="224"/>
      <c r="BT97" s="277"/>
      <c r="BX97" s="224"/>
      <c r="BY97" s="224"/>
      <c r="BZ97" s="177"/>
      <c r="CA97" s="177"/>
      <c r="CB97" s="177"/>
      <c r="CC97" s="177"/>
    </row>
    <row r="98" spans="8:81" x14ac:dyDescent="0.2">
      <c r="H98" s="175">
        <v>92</v>
      </c>
      <c r="I98" s="467">
        <f t="shared" si="25"/>
        <v>0.36800000000000005</v>
      </c>
      <c r="J98" s="222"/>
      <c r="K98" s="222"/>
      <c r="L98" s="222"/>
      <c r="M98" s="222"/>
      <c r="N98" s="272"/>
      <c r="O98" s="177"/>
      <c r="P98" s="222"/>
      <c r="Q98" s="453"/>
      <c r="S98" s="273"/>
      <c r="T98" s="273"/>
      <c r="U98" s="273"/>
      <c r="AJ98" s="453"/>
      <c r="AZ98" s="274"/>
      <c r="BJ98" s="224"/>
      <c r="BK98" s="224"/>
      <c r="BL98" s="224"/>
      <c r="BO98" s="177"/>
      <c r="BP98" s="224"/>
      <c r="BQ98" s="275"/>
      <c r="BR98" s="276"/>
      <c r="BS98" s="224"/>
      <c r="BT98" s="277"/>
      <c r="BX98" s="224"/>
      <c r="BY98" s="224"/>
      <c r="BZ98" s="177"/>
      <c r="CA98" s="177"/>
      <c r="CB98" s="177"/>
      <c r="CC98" s="177"/>
    </row>
    <row r="99" spans="8:81" x14ac:dyDescent="0.2">
      <c r="H99" s="175">
        <v>93</v>
      </c>
      <c r="I99" s="467">
        <f t="shared" si="25"/>
        <v>0.37200000000000005</v>
      </c>
      <c r="J99" s="222"/>
      <c r="K99" s="222"/>
      <c r="L99" s="222"/>
      <c r="M99" s="222"/>
      <c r="N99" s="272"/>
      <c r="O99" s="177"/>
      <c r="P99" s="222"/>
      <c r="Q99" s="453"/>
      <c r="S99" s="273"/>
      <c r="T99" s="273"/>
      <c r="U99" s="273"/>
      <c r="AJ99" s="453"/>
      <c r="AZ99" s="274"/>
      <c r="BJ99" s="224"/>
      <c r="BK99" s="224"/>
      <c r="BL99" s="224"/>
      <c r="BO99" s="177"/>
      <c r="BP99" s="224"/>
      <c r="BQ99" s="275"/>
      <c r="BR99" s="276"/>
      <c r="BS99" s="224"/>
      <c r="BT99" s="277"/>
      <c r="BX99" s="224"/>
      <c r="BY99" s="224"/>
      <c r="BZ99" s="177"/>
      <c r="CA99" s="177"/>
      <c r="CB99" s="177"/>
      <c r="CC99" s="177"/>
    </row>
    <row r="100" spans="8:81" x14ac:dyDescent="0.2">
      <c r="H100" s="175">
        <v>94</v>
      </c>
      <c r="I100" s="467">
        <f t="shared" si="25"/>
        <v>0.376</v>
      </c>
      <c r="J100" s="222"/>
      <c r="K100" s="222"/>
      <c r="L100" s="222"/>
      <c r="M100" s="222"/>
      <c r="N100" s="272"/>
      <c r="O100" s="177"/>
      <c r="P100" s="222"/>
      <c r="Q100" s="453"/>
      <c r="S100" s="273"/>
      <c r="T100" s="273"/>
      <c r="U100" s="273"/>
      <c r="AJ100" s="453"/>
      <c r="AZ100" s="274"/>
      <c r="BJ100" s="224"/>
      <c r="BK100" s="224"/>
      <c r="BL100" s="224"/>
      <c r="BO100" s="177"/>
      <c r="BP100" s="224"/>
      <c r="BQ100" s="275"/>
      <c r="BR100" s="276"/>
      <c r="BS100" s="224"/>
      <c r="BT100" s="277"/>
      <c r="BX100" s="224"/>
      <c r="BY100" s="224"/>
      <c r="BZ100" s="177"/>
      <c r="CA100" s="177"/>
      <c r="CB100" s="177"/>
      <c r="CC100" s="177"/>
    </row>
    <row r="101" spans="8:81" x14ac:dyDescent="0.2">
      <c r="H101" s="175">
        <v>95</v>
      </c>
      <c r="I101" s="467">
        <f t="shared" si="25"/>
        <v>0.38</v>
      </c>
      <c r="J101" s="222"/>
      <c r="K101" s="222"/>
      <c r="L101" s="222"/>
      <c r="M101" s="222"/>
      <c r="N101" s="272"/>
      <c r="O101" s="177"/>
      <c r="P101" s="222"/>
      <c r="Q101" s="453"/>
      <c r="S101" s="273"/>
      <c r="T101" s="273"/>
      <c r="U101" s="273"/>
      <c r="AJ101" s="453"/>
      <c r="AZ101" s="274"/>
      <c r="BJ101" s="224"/>
      <c r="BK101" s="224"/>
      <c r="BL101" s="224"/>
      <c r="BO101" s="177"/>
      <c r="BP101" s="224"/>
      <c r="BQ101" s="275"/>
      <c r="BR101" s="276"/>
      <c r="BS101" s="224"/>
      <c r="BT101" s="277"/>
      <c r="BX101" s="224"/>
      <c r="BY101" s="224"/>
      <c r="BZ101" s="177"/>
      <c r="CA101" s="177"/>
      <c r="CB101" s="177"/>
      <c r="CC101" s="177"/>
    </row>
    <row r="102" spans="8:81" x14ac:dyDescent="0.2">
      <c r="H102" s="175">
        <v>96</v>
      </c>
      <c r="I102" s="467">
        <f t="shared" ref="I102:I106" si="26">IF(PLOT_TYPE=1, H102/100*Iout_max, min_I*EXP(H102*rr/100))</f>
        <v>0.38400000000000001</v>
      </c>
      <c r="J102" s="222"/>
      <c r="K102" s="222"/>
      <c r="L102" s="222"/>
      <c r="M102" s="222"/>
      <c r="N102" s="272"/>
      <c r="O102" s="177"/>
      <c r="P102" s="222"/>
      <c r="Q102" s="453"/>
      <c r="S102" s="273"/>
      <c r="T102" s="273"/>
      <c r="U102" s="273"/>
      <c r="AJ102" s="453"/>
      <c r="AZ102" s="274"/>
      <c r="BJ102" s="224"/>
      <c r="BK102" s="224"/>
      <c r="BL102" s="224"/>
      <c r="BO102" s="177"/>
      <c r="BP102" s="224"/>
      <c r="BQ102" s="275"/>
      <c r="BR102" s="276"/>
      <c r="BS102" s="224"/>
      <c r="BT102" s="277"/>
      <c r="BX102" s="224"/>
      <c r="BY102" s="224"/>
      <c r="BZ102" s="177"/>
      <c r="CA102" s="177"/>
      <c r="CB102" s="177"/>
      <c r="CC102" s="177"/>
    </row>
    <row r="103" spans="8:81" x14ac:dyDescent="0.2">
      <c r="H103" s="175">
        <v>97</v>
      </c>
      <c r="I103" s="467">
        <f t="shared" si="26"/>
        <v>0.38800000000000001</v>
      </c>
      <c r="J103" s="222"/>
      <c r="K103" s="222"/>
      <c r="L103" s="222"/>
      <c r="M103" s="222"/>
      <c r="N103" s="272"/>
      <c r="O103" s="177"/>
      <c r="P103" s="222"/>
      <c r="Q103" s="453"/>
      <c r="S103" s="273"/>
      <c r="T103" s="273"/>
      <c r="U103" s="273"/>
      <c r="AJ103" s="453"/>
      <c r="AZ103" s="274"/>
      <c r="BJ103" s="224"/>
      <c r="BK103" s="224"/>
      <c r="BL103" s="224"/>
      <c r="BO103" s="177"/>
      <c r="BP103" s="224"/>
      <c r="BQ103" s="275"/>
      <c r="BR103" s="276"/>
      <c r="BS103" s="224"/>
      <c r="BT103" s="277"/>
      <c r="BX103" s="224"/>
      <c r="BY103" s="224"/>
      <c r="BZ103" s="177"/>
      <c r="CA103" s="177"/>
      <c r="CB103" s="177"/>
      <c r="CC103" s="177"/>
    </row>
    <row r="104" spans="8:81" x14ac:dyDescent="0.2">
      <c r="H104" s="175">
        <v>98</v>
      </c>
      <c r="I104" s="467">
        <f t="shared" si="26"/>
        <v>0.39200000000000002</v>
      </c>
      <c r="J104" s="222"/>
      <c r="K104" s="222"/>
      <c r="L104" s="222"/>
      <c r="M104" s="222"/>
      <c r="N104" s="272"/>
      <c r="O104" s="177"/>
      <c r="P104" s="222"/>
      <c r="Q104" s="453"/>
      <c r="S104" s="273"/>
      <c r="T104" s="273"/>
      <c r="U104" s="273"/>
      <c r="AJ104" s="453"/>
      <c r="AZ104" s="274"/>
      <c r="BJ104" s="224"/>
      <c r="BK104" s="224"/>
      <c r="BL104" s="224"/>
      <c r="BO104" s="177"/>
      <c r="BP104" s="224"/>
      <c r="BQ104" s="275"/>
      <c r="BR104" s="276"/>
      <c r="BS104" s="224"/>
      <c r="BT104" s="277"/>
      <c r="BX104" s="224"/>
      <c r="BY104" s="224"/>
      <c r="BZ104" s="177"/>
      <c r="CA104" s="177"/>
      <c r="CB104" s="177"/>
      <c r="CC104" s="177"/>
    </row>
    <row r="105" spans="8:81" x14ac:dyDescent="0.2">
      <c r="H105" s="175">
        <v>99</v>
      </c>
      <c r="I105" s="467">
        <f t="shared" si="26"/>
        <v>0.39600000000000002</v>
      </c>
      <c r="J105" s="222"/>
      <c r="K105" s="222"/>
      <c r="L105" s="222"/>
      <c r="M105" s="222"/>
      <c r="N105" s="272"/>
      <c r="O105" s="177"/>
      <c r="P105" s="222"/>
      <c r="Q105" s="453"/>
      <c r="S105" s="273"/>
      <c r="T105" s="273"/>
      <c r="U105" s="273"/>
      <c r="AJ105" s="453"/>
      <c r="AZ105" s="274"/>
      <c r="BJ105" s="224"/>
      <c r="BK105" s="224"/>
      <c r="BL105" s="224"/>
      <c r="BO105" s="177"/>
      <c r="BP105" s="224"/>
      <c r="BQ105" s="275"/>
      <c r="BR105" s="276"/>
      <c r="BS105" s="224"/>
      <c r="BT105" s="277"/>
      <c r="BX105" s="224"/>
      <c r="BY105" s="224"/>
      <c r="BZ105" s="177"/>
      <c r="CA105" s="177"/>
      <c r="CB105" s="177"/>
      <c r="CC105" s="177"/>
    </row>
    <row r="106" spans="8:81" x14ac:dyDescent="0.2">
      <c r="H106" s="175">
        <v>100</v>
      </c>
      <c r="I106" s="467">
        <f t="shared" si="26"/>
        <v>0.4</v>
      </c>
      <c r="J106" s="222"/>
      <c r="K106" s="222"/>
      <c r="L106" s="222"/>
      <c r="M106" s="222"/>
      <c r="N106" s="272"/>
      <c r="O106" s="177"/>
      <c r="P106" s="222"/>
      <c r="Q106" s="453"/>
      <c r="S106" s="273"/>
      <c r="T106" s="273"/>
      <c r="U106" s="273"/>
      <c r="AJ106" s="453"/>
      <c r="AY106" s="221">
        <f>Vout*I106</f>
        <v>4.8000000000000007</v>
      </c>
      <c r="AZ106" s="274">
        <f t="shared" ref="AZ106" si="27">AY106/(AY106+AX106)</f>
        <v>1</v>
      </c>
      <c r="BA106" s="350">
        <f t="shared" ref="BA106" si="28">AG106/($AY106+$AX106)</f>
        <v>0</v>
      </c>
      <c r="BB106" s="350">
        <f t="shared" ref="BB106" si="29">AO106/($AY106+$AX106)</f>
        <v>0</v>
      </c>
      <c r="BC106" s="350" t="e">
        <f t="shared" ref="BC106" si="30">Vin*R106*(QgBot+Qg)/($AY106+$AX106)</f>
        <v>#NAME?</v>
      </c>
      <c r="BD106" s="350">
        <f t="shared" ref="BD106" si="31">AK106/($AY106+$AX106)</f>
        <v>0</v>
      </c>
      <c r="BE106" s="350">
        <f t="shared" ref="BE106" si="32">AQ106/(AX106+AY106)</f>
        <v>0</v>
      </c>
      <c r="BF106" s="350">
        <f t="shared" ref="BF106" si="33">AR106/($AY106+$AX106)</f>
        <v>0</v>
      </c>
      <c r="BG106" s="350">
        <f t="shared" ref="BG106" si="34">W106/($AY106+$AX106)</f>
        <v>0</v>
      </c>
      <c r="BH106" s="350">
        <f t="shared" ref="BH106" si="35">X106/($AY106+$AX106)</f>
        <v>0</v>
      </c>
      <c r="BI106" s="350">
        <f t="shared" ref="BI106" si="36">(AB106+AE106)/($AY106+$AX106)</f>
        <v>0</v>
      </c>
      <c r="BJ106" s="224">
        <f t="shared" ref="BJ106" si="37">AT106/($AY106+$AX106)</f>
        <v>0</v>
      </c>
      <c r="BK106" s="224">
        <f t="shared" ref="BK106" si="38">AX106/($AY106+$AX106)</f>
        <v>0</v>
      </c>
      <c r="BL106" s="224">
        <f t="shared" ref="BL106" si="39">AZ106</f>
        <v>1</v>
      </c>
      <c r="BM106" s="177">
        <f t="shared" ref="BM106" si="40">100*BL106</f>
        <v>100</v>
      </c>
      <c r="BN106" s="222">
        <f xml:space="preserve"> CHOOSE(MODE, I106*1000,#REF!)</f>
        <v>400</v>
      </c>
      <c r="BO106" s="177">
        <v>88.698181382326453</v>
      </c>
      <c r="BP106" s="224">
        <f t="shared" ref="BP106" si="41">BO106/100</f>
        <v>0.88698181382326458</v>
      </c>
      <c r="BQ106" s="275">
        <f t="shared" ref="BQ106" si="42">R106/1000</f>
        <v>0</v>
      </c>
      <c r="BR106" s="276"/>
      <c r="BS106" s="224">
        <f t="shared" ref="BS106" si="43">AL106/($AY106+$AX106)</f>
        <v>0</v>
      </c>
      <c r="BT106" s="277"/>
      <c r="BU106" s="177">
        <f t="shared" ref="BU106" si="44">1000*AW106</f>
        <v>0</v>
      </c>
      <c r="BV106" s="177">
        <f t="shared" ref="BV106" si="45">1000*AU106</f>
        <v>0</v>
      </c>
      <c r="BW106" s="177">
        <f t="shared" ref="BW106" si="46">1000*Y106</f>
        <v>0</v>
      </c>
      <c r="BX106" s="224"/>
      <c r="BY106" s="224"/>
      <c r="BZ106" s="177">
        <f xml:space="preserve"> IF(MODE=1, BM106,#REF!)</f>
        <v>100</v>
      </c>
      <c r="CA106" s="177">
        <f xml:space="preserve"> IF(MODE=1, BU106,#REF!)</f>
        <v>0</v>
      </c>
      <c r="CB106" s="177">
        <f xml:space="preserve"> IF(MODE=1, BV106,#REF!)</f>
        <v>0</v>
      </c>
      <c r="CC106" s="177">
        <f xml:space="preserve"> IF(MODE=1, BW106,#REF!)</f>
        <v>0</v>
      </c>
    </row>
    <row r="107" spans="8:81" x14ac:dyDescent="0.2">
      <c r="BQ107" s="275"/>
      <c r="BR107" s="276"/>
      <c r="BS107" s="276"/>
      <c r="BT107" s="277"/>
      <c r="BX107" s="224"/>
      <c r="BY107" s="224"/>
    </row>
    <row r="108" spans="8:81" x14ac:dyDescent="0.2">
      <c r="H108" s="333">
        <v>1.0000000000000001E-5</v>
      </c>
      <c r="I108" s="334" t="s">
        <v>1</v>
      </c>
      <c r="J108" s="335" t="s">
        <v>277</v>
      </c>
      <c r="AG108" s="221">
        <v>4.9516878778202269E-3</v>
      </c>
      <c r="AH108" s="221">
        <v>3.7188236700537959E-3</v>
      </c>
      <c r="AI108">
        <v>20</v>
      </c>
      <c r="AJ108" s="221">
        <v>18.943591787921068</v>
      </c>
      <c r="AK108" s="221">
        <v>4.1453367485397245E-3</v>
      </c>
      <c r="AL108" s="221">
        <v>7.1640215182307235E-3</v>
      </c>
      <c r="AN108" s="221">
        <v>9.1940431932401354E-2</v>
      </c>
      <c r="AO108" s="221">
        <v>8.4530430239165271E-3</v>
      </c>
      <c r="AP108" s="221">
        <v>9.3281530185295868E-4</v>
      </c>
      <c r="AQ108" s="221">
        <v>9.1178757202630047E-3</v>
      </c>
      <c r="AR108" s="221">
        <v>1.2140752334887425E-3</v>
      </c>
      <c r="AS108" s="221">
        <v>1.8784993977668273E-2</v>
      </c>
      <c r="AZ108" s="337" t="s">
        <v>281</v>
      </c>
      <c r="BA108" s="357">
        <v>3.6409104085968987E-3</v>
      </c>
      <c r="BB108" s="357">
        <v>6.5692245841190103E-3</v>
      </c>
      <c r="BC108" s="357">
        <v>5.4394694205683519E-2</v>
      </c>
      <c r="BD108" s="357">
        <v>4.5907837520612008E-3</v>
      </c>
      <c r="BE108" s="357">
        <v>0</v>
      </c>
      <c r="BF108" s="357">
        <v>7.3751579484765363E-4</v>
      </c>
      <c r="BG108" s="357">
        <v>7.2151246180390156E-3</v>
      </c>
      <c r="BH108" s="357">
        <v>1.4929120352630757E-2</v>
      </c>
      <c r="BI108" s="357">
        <v>5.5024434421027814E-6</v>
      </c>
      <c r="BJ108" s="357">
        <v>8.2551506228875166E-2</v>
      </c>
    </row>
    <row r="109" spans="8:81" x14ac:dyDescent="0.2">
      <c r="H109" s="336">
        <f>Iout_max</f>
        <v>0.4</v>
      </c>
      <c r="I109" s="334" t="s">
        <v>1</v>
      </c>
      <c r="J109" s="335" t="s">
        <v>278</v>
      </c>
      <c r="AZ109" s="337" t="s">
        <v>279</v>
      </c>
      <c r="BA109" s="357">
        <v>8.1000709018000279E-3</v>
      </c>
      <c r="BB109" s="357">
        <v>1.4614802049391215E-2</v>
      </c>
      <c r="BC109" s="357">
        <v>2.4831534664325892E-2</v>
      </c>
      <c r="BD109" s="357">
        <v>9.9057039827182662E-3</v>
      </c>
      <c r="BE109" s="357">
        <v>1.1631608311305648E-2</v>
      </c>
      <c r="BF109" s="357">
        <v>1.6465542803473395E-3</v>
      </c>
      <c r="BG109" s="357">
        <v>1.6051760250250457E-2</v>
      </c>
      <c r="BH109" s="357">
        <v>6.8152413568584669E-3</v>
      </c>
      <c r="BI109" s="357">
        <v>1.7517781122613987E-5</v>
      </c>
      <c r="BJ109" s="357">
        <v>1.2837829865088564E-2</v>
      </c>
    </row>
    <row r="110" spans="8:81" x14ac:dyDescent="0.2">
      <c r="H110" s="336">
        <f>LOG(max_I/min_I,EXP(1))</f>
        <v>10.596634733096073</v>
      </c>
      <c r="I110" s="222"/>
      <c r="J110" s="335" t="s">
        <v>280</v>
      </c>
    </row>
    <row r="111" spans="8:81" x14ac:dyDescent="0.2">
      <c r="AZ111" s="337"/>
      <c r="BA111" s="357"/>
      <c r="BB111" s="357"/>
      <c r="BC111" s="357"/>
      <c r="BD111" s="357"/>
      <c r="BE111" s="357"/>
      <c r="BF111" s="357"/>
      <c r="BG111" s="357"/>
      <c r="BH111" s="357"/>
      <c r="BI111" s="357"/>
      <c r="BJ111" s="357"/>
    </row>
    <row r="112" spans="8:81" x14ac:dyDescent="0.2">
      <c r="J112" s="339"/>
      <c r="R112" s="340"/>
      <c r="S112" s="340"/>
      <c r="T112" s="340"/>
      <c r="U112" s="340"/>
      <c r="V112" s="341"/>
    </row>
    <row r="113" spans="10:22" x14ac:dyDescent="0.2">
      <c r="J113" s="339"/>
      <c r="R113" s="340"/>
      <c r="S113" s="340"/>
      <c r="T113" s="340"/>
      <c r="U113" s="340"/>
      <c r="V113" s="341"/>
    </row>
    <row r="114" spans="10:22" x14ac:dyDescent="0.2">
      <c r="R114" s="342"/>
      <c r="S114" s="342"/>
      <c r="T114" s="342"/>
      <c r="U114" s="342"/>
      <c r="V114" s="341"/>
    </row>
    <row r="116" spans="10:22" x14ac:dyDescent="0.2">
      <c r="R116" s="342"/>
      <c r="S116" s="342"/>
      <c r="T116" s="342"/>
      <c r="U116" s="342"/>
      <c r="V116" s="341"/>
    </row>
    <row r="121" spans="10:22" x14ac:dyDescent="0.2">
      <c r="V121" s="335"/>
    </row>
    <row r="122" spans="10:22" x14ac:dyDescent="0.2">
      <c r="O122" s="335"/>
      <c r="P122" s="335"/>
      <c r="Q122" s="335"/>
    </row>
    <row r="123" spans="10:22" x14ac:dyDescent="0.2">
      <c r="O123" s="335"/>
      <c r="P123" s="335"/>
      <c r="Q123" s="335"/>
    </row>
    <row r="124" spans="10:22" x14ac:dyDescent="0.2">
      <c r="O124" s="335"/>
      <c r="P124" s="335"/>
      <c r="Q124" s="335"/>
    </row>
    <row r="125" spans="10:22" x14ac:dyDescent="0.2">
      <c r="O125" s="335"/>
      <c r="P125" s="335"/>
      <c r="Q125" s="335"/>
    </row>
    <row r="126" spans="10:22" x14ac:dyDescent="0.2">
      <c r="J126" s="343"/>
      <c r="O126" s="335"/>
      <c r="P126" s="335"/>
      <c r="Q126" s="335"/>
    </row>
    <row r="127" spans="10:22" x14ac:dyDescent="0.2">
      <c r="J127" s="343"/>
      <c r="O127" s="335"/>
      <c r="P127" s="335"/>
      <c r="Q127" s="335"/>
    </row>
    <row r="128" spans="10:22" x14ac:dyDescent="0.2">
      <c r="J128" s="343"/>
      <c r="O128" s="335"/>
      <c r="P128" s="335"/>
      <c r="Q128" s="335"/>
    </row>
    <row r="129" spans="10:17" x14ac:dyDescent="0.2">
      <c r="J129" s="334"/>
      <c r="O129" s="335"/>
      <c r="P129" s="335"/>
      <c r="Q129" s="335"/>
    </row>
    <row r="130" spans="10:17" x14ac:dyDescent="0.2">
      <c r="J130" s="334"/>
    </row>
    <row r="131" spans="10:17" x14ac:dyDescent="0.2">
      <c r="J131" s="334"/>
    </row>
    <row r="132" spans="10:17" x14ac:dyDescent="0.2">
      <c r="J132" s="334"/>
    </row>
    <row r="133" spans="10:17" x14ac:dyDescent="0.2">
      <c r="J133" s="334"/>
    </row>
  </sheetData>
  <mergeCells count="4">
    <mergeCell ref="A1:E3"/>
    <mergeCell ref="G2:H2"/>
    <mergeCell ref="A4:E4"/>
    <mergeCell ref="K4:U4"/>
  </mergeCells>
  <phoneticPr fontId="82"/>
  <conditionalFormatting sqref="B26:B28">
    <cfRule type="cellIs" dxfId="9" priority="8" stopIfTrue="1" operator="notEqual">
      <formula>G28</formula>
    </cfRule>
  </conditionalFormatting>
  <conditionalFormatting sqref="B30:B33 B37:B38">
    <cfRule type="cellIs" dxfId="8" priority="6" stopIfTrue="1" operator="notEqual">
      <formula>G36</formula>
    </cfRule>
  </conditionalFormatting>
  <conditionalFormatting sqref="B35:B36">
    <cfRule type="cellIs" dxfId="7" priority="5" stopIfTrue="1" operator="notEqual">
      <formula>G42</formula>
    </cfRule>
  </conditionalFormatting>
  <conditionalFormatting sqref="B40">
    <cfRule type="cellIs" dxfId="6" priority="4" stopIfTrue="1" operator="notEqual">
      <formula>G53</formula>
    </cfRule>
  </conditionalFormatting>
  <conditionalFormatting sqref="B49:B52">
    <cfRule type="cellIs" dxfId="5" priority="9" stopIfTrue="1" operator="notEqual">
      <formula>G70</formula>
    </cfRule>
  </conditionalFormatting>
  <conditionalFormatting sqref="B47:B48">
    <cfRule type="cellIs" dxfId="4" priority="12" stopIfTrue="1" operator="notEqual">
      <formula>G68</formula>
    </cfRule>
  </conditionalFormatting>
  <conditionalFormatting sqref="B42:B44">
    <cfRule type="cellIs" dxfId="3" priority="13" stopIfTrue="1" operator="notEqual">
      <formula>G54</formula>
    </cfRule>
  </conditionalFormatting>
  <conditionalFormatting sqref="B45">
    <cfRule type="cellIs" dxfId="2" priority="2" stopIfTrue="1" operator="notEqual">
      <formula>G66</formula>
    </cfRule>
  </conditionalFormatting>
  <conditionalFormatting sqref="B29">
    <cfRule type="cellIs" dxfId="1" priority="145" stopIfTrue="1" operator="notEqual">
      <formula>G30</formula>
    </cfRule>
  </conditionalFormatting>
  <pageMargins left="0.75" right="0.75" top="1" bottom="1" header="0.5" footer="0.5"/>
  <pageSetup scale="79" orientation="portrait" r:id="rId1"/>
  <headerFooter alignWithMargins="0"/>
  <colBreaks count="1" manualBreakCount="1">
    <brk id="7" max="1048575" man="1"/>
  </colBreaks>
  <ignoredErrors>
    <ignoredError sqref="B8:B9 BQ6:BQ7" unlockedFormula="1"/>
    <ignoredError sqref="D11" formula="1"/>
  </ignoredErrors>
  <drawing r:id="rId2"/>
  <legacyDrawing r:id="rId3"/>
  <oleObjects>
    <mc:AlternateContent xmlns:mc="http://schemas.openxmlformats.org/markup-compatibility/2006">
      <mc:Choice Requires="x14">
        <oleObject progId="Visio.Drawing.11" shapeId="683009" r:id="rId4">
          <objectPr defaultSize="0" autoPict="0" r:id="rId5">
            <anchor moveWithCells="1">
              <from>
                <xdr:col>22</xdr:col>
                <xdr:colOff>180975</xdr:colOff>
                <xdr:row>111</xdr:row>
                <xdr:rowOff>142875</xdr:rowOff>
              </from>
              <to>
                <xdr:col>36</xdr:col>
                <xdr:colOff>9525</xdr:colOff>
                <xdr:row>125</xdr:row>
                <xdr:rowOff>142875</xdr:rowOff>
              </to>
            </anchor>
          </objectPr>
        </oleObject>
      </mc:Choice>
      <mc:Fallback>
        <oleObject progId="Visio.Drawing.11" shapeId="683009"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B7"/>
  <sheetViews>
    <sheetView zoomScaleNormal="100" workbookViewId="0">
      <selection activeCell="H7" sqref="H7"/>
    </sheetView>
  </sheetViews>
  <sheetFormatPr defaultRowHeight="12.75" x14ac:dyDescent="0.2"/>
  <cols>
    <col min="2" max="2" width="126.42578125" customWidth="1"/>
  </cols>
  <sheetData>
    <row r="2" spans="1:2" ht="17.25" customHeight="1" x14ac:dyDescent="0.2">
      <c r="A2" s="77" t="str">
        <f>CHOOSE(MODE, "EFF_SINGLE", "EFF_DUAL")</f>
        <v>EFF_SINGLE</v>
      </c>
    </row>
    <row r="5" spans="1:2" ht="409.5" customHeight="1" x14ac:dyDescent="0.2">
      <c r="B5" s="365"/>
    </row>
    <row r="6" spans="1:2" ht="17.100000000000001" customHeight="1" x14ac:dyDescent="0.2"/>
    <row r="7" spans="1:2" ht="409.5" customHeight="1" x14ac:dyDescent="0.2">
      <c r="B7" s="365"/>
    </row>
  </sheetData>
  <phoneticPr fontId="82"/>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163</vt:i4>
      </vt:variant>
    </vt:vector>
  </HeadingPairs>
  <TitlesOfParts>
    <vt:vector size="175" baseType="lpstr">
      <vt:lpstr>Design Converter</vt:lpstr>
      <vt:lpstr>BOM &amp; Schematic</vt:lpstr>
      <vt:lpstr>EVMs</vt:lpstr>
      <vt:lpstr>Variable Mgmt</vt:lpstr>
      <vt:lpstr>Calculations - Single</vt:lpstr>
      <vt:lpstr>Calculations - Dual</vt:lpstr>
      <vt:lpstr>Fsw vs VIN</vt:lpstr>
      <vt:lpstr>Parameters</vt:lpstr>
      <vt:lpstr>Efficiency Plots</vt:lpstr>
      <vt:lpstr>Fsw Plots</vt:lpstr>
      <vt:lpstr>Schematic Mgmt</vt:lpstr>
      <vt:lpstr>Standard Value Calculator</vt:lpstr>
      <vt:lpstr>_Don1</vt:lpstr>
      <vt:lpstr>BDserR</vt:lpstr>
      <vt:lpstr>Cb</vt:lpstr>
      <vt:lpstr>Parameters!Cin</vt:lpstr>
      <vt:lpstr>Cin</vt:lpstr>
      <vt:lpstr>CinEsrMax</vt:lpstr>
      <vt:lpstr>Cinmin</vt:lpstr>
      <vt:lpstr>CONFIG</vt:lpstr>
      <vt:lpstr>Coss</vt:lpstr>
      <vt:lpstr>Parameters!Cout</vt:lpstr>
      <vt:lpstr>Cout</vt:lpstr>
      <vt:lpstr>Cout_Voltage_Rating</vt:lpstr>
      <vt:lpstr>Cout2</vt:lpstr>
      <vt:lpstr>CoutEsr</vt:lpstr>
      <vt:lpstr>CoutEsr2</vt:lpstr>
      <vt:lpstr>Css</vt:lpstr>
      <vt:lpstr>Css_u</vt:lpstr>
      <vt:lpstr>Csw</vt:lpstr>
      <vt:lpstr>Diode_TC</vt:lpstr>
      <vt:lpstr>Don_Vinmax</vt:lpstr>
      <vt:lpstr>Don_Vinmin</vt:lpstr>
      <vt:lpstr>Don_Vinnom</vt:lpstr>
      <vt:lpstr>EFF_DUAL</vt:lpstr>
      <vt:lpstr>EFF_SINGLE</vt:lpstr>
      <vt:lpstr>Efficiency</vt:lpstr>
      <vt:lpstr>Parameters!Fsw</vt:lpstr>
      <vt:lpstr>Fsw_DCM</vt:lpstr>
      <vt:lpstr>Fsw_DUAL</vt:lpstr>
      <vt:lpstr>Fsw_max</vt:lpstr>
      <vt:lpstr>Fsw_SINGLE</vt:lpstr>
      <vt:lpstr>Icinrms</vt:lpstr>
      <vt:lpstr>Icoutrms</vt:lpstr>
      <vt:lpstr>Iin_Vinmax</vt:lpstr>
      <vt:lpstr>Iin_Vinmin</vt:lpstr>
      <vt:lpstr>Iin_Vinnom</vt:lpstr>
      <vt:lpstr>Iout</vt:lpstr>
      <vt:lpstr>Iout_max</vt:lpstr>
      <vt:lpstr>Iout2</vt:lpstr>
      <vt:lpstr>Iout2_actual</vt:lpstr>
      <vt:lpstr>'Calculations - Dual'!Ioutmax_Vinmax</vt:lpstr>
      <vt:lpstr>Ioutmax_Vinmax</vt:lpstr>
      <vt:lpstr>'Calculations - Dual'!Ioutmax_Vinmin</vt:lpstr>
      <vt:lpstr>Ioutmax_Vinmin</vt:lpstr>
      <vt:lpstr>'Calculations - Dual'!Ioutmax_Vinnom</vt:lpstr>
      <vt:lpstr>Ioutmax_Vinnom</vt:lpstr>
      <vt:lpstr>IQ</vt:lpstr>
      <vt:lpstr>Iripple</vt:lpstr>
      <vt:lpstr>Iss</vt:lpstr>
      <vt:lpstr>Isw_max</vt:lpstr>
      <vt:lpstr>Isw_min</vt:lpstr>
      <vt:lpstr>Iuvlo_hys</vt:lpstr>
      <vt:lpstr>Iuvlo1</vt:lpstr>
      <vt:lpstr>Iuvlo2</vt:lpstr>
      <vt:lpstr>k_core</vt:lpstr>
      <vt:lpstr>L</vt:lpstr>
      <vt:lpstr>Lf</vt:lpstr>
      <vt:lpstr>Lleak</vt:lpstr>
      <vt:lpstr>Lmin</vt:lpstr>
      <vt:lpstr>Ltc</vt:lpstr>
      <vt:lpstr>max_I</vt:lpstr>
      <vt:lpstr>min_I</vt:lpstr>
      <vt:lpstr>MODE</vt:lpstr>
      <vt:lpstr>MODE_SS</vt:lpstr>
      <vt:lpstr>MODE_TC</vt:lpstr>
      <vt:lpstr>MODE_TOP</vt:lpstr>
      <vt:lpstr>MODE_UVLO</vt:lpstr>
      <vt:lpstr>Npri_sec1</vt:lpstr>
      <vt:lpstr>Npri_sec2</vt:lpstr>
      <vt:lpstr>Nps</vt:lpstr>
      <vt:lpstr>Nsec1sec2</vt:lpstr>
      <vt:lpstr>OffTime</vt:lpstr>
      <vt:lpstr>OnTime</vt:lpstr>
      <vt:lpstr>Pi</vt:lpstr>
      <vt:lpstr>Pin</vt:lpstr>
      <vt:lpstr>PLOT_TYPE</vt:lpstr>
      <vt:lpstr>Pout</vt:lpstr>
      <vt:lpstr>Pout_total</vt:lpstr>
      <vt:lpstr>Pout2</vt:lpstr>
      <vt:lpstr>'BOM &amp; Schematic'!Print_Area</vt:lpstr>
      <vt:lpstr>'Design Converter'!Print_Area</vt:lpstr>
      <vt:lpstr>Qg</vt:lpstr>
      <vt:lpstr>Parameters!RCinEsr</vt:lpstr>
      <vt:lpstr>RCinEsr</vt:lpstr>
      <vt:lpstr>Parameters!RCoutEsr</vt:lpstr>
      <vt:lpstr>RCoutEsr</vt:lpstr>
      <vt:lpstr>Rdcr_pri</vt:lpstr>
      <vt:lpstr>Rdcr_sec</vt:lpstr>
      <vt:lpstr>Rdcr_sec2</vt:lpstr>
      <vt:lpstr>Rdson</vt:lpstr>
      <vt:lpstr>RdsonTC</vt:lpstr>
      <vt:lpstr>Rfb</vt:lpstr>
      <vt:lpstr>Rfb_recommend</vt:lpstr>
      <vt:lpstr>Rfb2_u</vt:lpstr>
      <vt:lpstr>Rout</vt:lpstr>
      <vt:lpstr>Rout2</vt:lpstr>
      <vt:lpstr>rr</vt:lpstr>
      <vt:lpstr>RTC</vt:lpstr>
      <vt:lpstr>RTC_1</vt:lpstr>
      <vt:lpstr>Ruvlo1</vt:lpstr>
      <vt:lpstr>Ruvlo2</vt:lpstr>
      <vt:lpstr>SCH_BIPOLAR_UVLOadj_SSadj_TCno</vt:lpstr>
      <vt:lpstr>SCH_BIPOLAR_UVLOadj_SSadj_TCyes</vt:lpstr>
      <vt:lpstr>SCH_BIPOLAR_UVLOadj_SSint_TCno</vt:lpstr>
      <vt:lpstr>SCH_BIPOLAR_UVLOadj_SSint_TCyes</vt:lpstr>
      <vt:lpstr>SCH_BIPOLAR_UVLOint_SSadj_TCno</vt:lpstr>
      <vt:lpstr>SCH_BIPOLAR_UVLOint_SSadj_TCyes</vt:lpstr>
      <vt:lpstr>SCH_BIPOLAR_UVLOint_SSint_TCno</vt:lpstr>
      <vt:lpstr>SCH_BIPOLAR_UVLOint_SSint_TCyes</vt:lpstr>
      <vt:lpstr>SCH_DUAL_UVLOadj_SSadj_TCno</vt:lpstr>
      <vt:lpstr>SCH_DUAL_UVLOadj_SSadj_TCyes</vt:lpstr>
      <vt:lpstr>SCH_DUAL_UVLOadj_SSint_TCno</vt:lpstr>
      <vt:lpstr>SCH_DUAL_UVLOadj_SSint_TCyes</vt:lpstr>
      <vt:lpstr>SCH_DUAL_UVLOint_SSadj_TCno</vt:lpstr>
      <vt:lpstr>SCH_DUAL_UVLOint_SSadj_TCyes</vt:lpstr>
      <vt:lpstr>SCH_DUAL_UVLOint_SSint_TCno</vt:lpstr>
      <vt:lpstr>SCH_DUAL_UVLOint_SSint_TCyes</vt:lpstr>
      <vt:lpstr>SCH_SINGLE_UVLOadj_SSadj_TCno</vt:lpstr>
      <vt:lpstr>SCH_SINGLE_UVLOadj_SSadj_TCyes</vt:lpstr>
      <vt:lpstr>SCH_SINGLE_UVLOadj_SSint_TCno</vt:lpstr>
      <vt:lpstr>SCH_SINGLE_UVLOadj_SSint_TCyes</vt:lpstr>
      <vt:lpstr>SCH_SINGLE_UVLOint_SSadj_TCno</vt:lpstr>
      <vt:lpstr>SCH_SINGLE_UVLOint_SSadj_TCyes</vt:lpstr>
      <vt:lpstr>SCH_SINGLE_UVLOint_SSint_TCno</vt:lpstr>
      <vt:lpstr>SCH_SINGLE_UVLOint_SSint_TCyes</vt:lpstr>
      <vt:lpstr>Parameters!Ta</vt:lpstr>
      <vt:lpstr>Ta</vt:lpstr>
      <vt:lpstr>TC</vt:lpstr>
      <vt:lpstr>Tfall</vt:lpstr>
      <vt:lpstr>ThetaCa</vt:lpstr>
      <vt:lpstr>ThetaJA</vt:lpstr>
      <vt:lpstr>TL</vt:lpstr>
      <vt:lpstr>Toff_Vinmax</vt:lpstr>
      <vt:lpstr>Ton_Vinmin</vt:lpstr>
      <vt:lpstr>Trise</vt:lpstr>
      <vt:lpstr>TrrBot</vt:lpstr>
      <vt:lpstr>Tss</vt:lpstr>
      <vt:lpstr>Turns_Ratio</vt:lpstr>
      <vt:lpstr>Turns_Ratio2</vt:lpstr>
      <vt:lpstr>Vdd</vt:lpstr>
      <vt:lpstr>Vfwd1</vt:lpstr>
      <vt:lpstr>Vfwd2</vt:lpstr>
      <vt:lpstr>Vin</vt:lpstr>
      <vt:lpstr>VIN_max</vt:lpstr>
      <vt:lpstr>VIN_min</vt:lpstr>
      <vt:lpstr>VIN_nom</vt:lpstr>
      <vt:lpstr>Vinripple1</vt:lpstr>
      <vt:lpstr>Vinripple2</vt:lpstr>
      <vt:lpstr>VINuvlo_off</vt:lpstr>
      <vt:lpstr>VINuvlo_on</vt:lpstr>
      <vt:lpstr>Vout</vt:lpstr>
      <vt:lpstr>Vout_ripple</vt:lpstr>
      <vt:lpstr>Vout_ripple2</vt:lpstr>
      <vt:lpstr>Vout2</vt:lpstr>
      <vt:lpstr>Vout2_actual</vt:lpstr>
      <vt:lpstr>Vref</vt:lpstr>
      <vt:lpstr>Vripple1_actual</vt:lpstr>
      <vt:lpstr>Vripple1_spec</vt:lpstr>
      <vt:lpstr>Vripple2_actual</vt:lpstr>
      <vt:lpstr>Vripple2_spec</vt:lpstr>
      <vt:lpstr>VRRM_DIODE</vt:lpstr>
      <vt:lpstr>Vuvlo_hys</vt:lpstr>
      <vt:lpstr>Vuvlo_off</vt:lpstr>
      <vt:lpstr>Vuvlo_on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LM25180 Design Calculator</dc:title>
  <dc:creator>Timothy Hegarty</dc:creator>
  <cp:keywords>LM25180 PSR flyback converter</cp:keywords>
  <cp:lastModifiedBy>Tadahiko Kuramochi</cp:lastModifiedBy>
  <cp:lastPrinted>2016-03-02T21:18:53Z</cp:lastPrinted>
  <dcterms:created xsi:type="dcterms:W3CDTF">1996-10-14T23:33:28Z</dcterms:created>
  <dcterms:modified xsi:type="dcterms:W3CDTF">2021-02-19T04:42:06Z</dcterms:modified>
</cp:coreProperties>
</file>