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Z:\Suresh Yadav\03_Insulating Monitoring Device\2M+2M\10V to 30V Isolated PS\"/>
    </mc:Choice>
  </mc:AlternateContent>
  <xr:revisionPtr revIDLastSave="0" documentId="13_ncr:1_{C4030134-9F6F-41AD-8F85-E0E59BB7D14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M25180_4OUT" sheetId="8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1" i="8" l="1"/>
  <c r="C69" i="8"/>
  <c r="C66" i="8" l="1"/>
  <c r="C19" i="8"/>
  <c r="C20" i="8" s="1"/>
  <c r="C40" i="8"/>
  <c r="C39" i="8"/>
  <c r="C63" i="8" s="1"/>
  <c r="C38" i="8"/>
  <c r="C62" i="8" s="1"/>
  <c r="C37" i="8"/>
  <c r="C61" i="8" s="1"/>
  <c r="C56" i="8"/>
  <c r="C55" i="8"/>
  <c r="C51" i="8"/>
  <c r="C52" i="8" s="1"/>
  <c r="C64" i="8" l="1"/>
  <c r="C44" i="8"/>
  <c r="C45" i="8"/>
  <c r="C46" i="8"/>
  <c r="C48" i="8"/>
  <c r="C49" i="8"/>
  <c r="C50" i="8" s="1"/>
  <c r="C43" i="8"/>
  <c r="C47" i="8"/>
  <c r="C41" i="8"/>
  <c r="C60" i="8"/>
  <c r="C68" i="8" s="1"/>
  <c r="C70" i="8" l="1"/>
</calcChain>
</file>

<file path=xl/sharedStrings.xml><?xml version="1.0" encoding="utf-8"?>
<sst xmlns="http://schemas.openxmlformats.org/spreadsheetml/2006/main" count="170" uniqueCount="127">
  <si>
    <t>Parameter</t>
  </si>
  <si>
    <t>Value</t>
  </si>
  <si>
    <t>Unit</t>
  </si>
  <si>
    <t>Minimum Input Voltage</t>
  </si>
  <si>
    <t>V in_min</t>
  </si>
  <si>
    <t>V</t>
  </si>
  <si>
    <t>Maximum Input Voltage</t>
  </si>
  <si>
    <t>V in_max</t>
  </si>
  <si>
    <t>Output Voltage 1</t>
  </si>
  <si>
    <t>Vo1</t>
  </si>
  <si>
    <t>Output Current 1</t>
  </si>
  <si>
    <t>Io1</t>
  </si>
  <si>
    <t>A</t>
  </si>
  <si>
    <t>Output Voltage 2</t>
  </si>
  <si>
    <t>Vo2</t>
  </si>
  <si>
    <t>Output Current 2</t>
  </si>
  <si>
    <t>Io2</t>
  </si>
  <si>
    <t>Output Voltage 3</t>
  </si>
  <si>
    <t>Vo3</t>
  </si>
  <si>
    <t>Output Current 3</t>
  </si>
  <si>
    <t>Io3</t>
  </si>
  <si>
    <t>Output Voltage 4</t>
  </si>
  <si>
    <t>Vo4</t>
  </si>
  <si>
    <t>Output Current 4</t>
  </si>
  <si>
    <t>Io4</t>
  </si>
  <si>
    <t>Output Voltage 5</t>
  </si>
  <si>
    <t>Vo5</t>
  </si>
  <si>
    <t>Output Current 5</t>
  </si>
  <si>
    <t>Io5</t>
  </si>
  <si>
    <t>Total Output Power</t>
  </si>
  <si>
    <t>Po</t>
  </si>
  <si>
    <t>W</t>
  </si>
  <si>
    <t>Efficiency</t>
  </si>
  <si>
    <t>η</t>
  </si>
  <si>
    <t>Total Input Power</t>
  </si>
  <si>
    <t>Pin</t>
  </si>
  <si>
    <t>Forward Voltage of secondary Diode</t>
  </si>
  <si>
    <t>Vf</t>
  </si>
  <si>
    <t>Switching Frequency</t>
  </si>
  <si>
    <t>Fsw</t>
  </si>
  <si>
    <t>Transformer Calculation</t>
  </si>
  <si>
    <t>AL</t>
  </si>
  <si>
    <t>Np</t>
  </si>
  <si>
    <t>Ns1</t>
  </si>
  <si>
    <t>Ns2</t>
  </si>
  <si>
    <t>Ns3</t>
  </si>
  <si>
    <t>Ns4</t>
  </si>
  <si>
    <t>mA</t>
  </si>
  <si>
    <t>Nps</t>
  </si>
  <si>
    <t>Max duty cycle</t>
  </si>
  <si>
    <t>Dmax</t>
  </si>
  <si>
    <t>Flyback Transformer – T1 Turn Ratio</t>
  </si>
  <si>
    <t>Magnetizing inductance</t>
  </si>
  <si>
    <t>Lmag</t>
  </si>
  <si>
    <t>toff_min</t>
  </si>
  <si>
    <t>nS</t>
  </si>
  <si>
    <t>Minimum Toff time</t>
  </si>
  <si>
    <t>FFM Maximum current</t>
  </si>
  <si>
    <t>I_SW_PEAK_FFM</t>
  </si>
  <si>
    <t>uH</t>
  </si>
  <si>
    <t>Output Current Max</t>
  </si>
  <si>
    <t>Iout_Max</t>
  </si>
  <si>
    <t>Isw_peak</t>
  </si>
  <si>
    <t>VDZ_Clamp</t>
  </si>
  <si>
    <t>R_FB</t>
  </si>
  <si>
    <t>Kohm</t>
  </si>
  <si>
    <t>R_TC</t>
  </si>
  <si>
    <t>Thermal Compensation Resistor</t>
  </si>
  <si>
    <t>Feedback Resistor</t>
  </si>
  <si>
    <t>Zener Clamp Voltage</t>
  </si>
  <si>
    <t>Calculated Values</t>
  </si>
  <si>
    <t xml:space="preserve">Diode Temperature Cofficeint </t>
  </si>
  <si>
    <t>Tc_Diode</t>
  </si>
  <si>
    <t>mV/C</t>
  </si>
  <si>
    <t>Input Parameter</t>
  </si>
  <si>
    <t>Vin ON</t>
  </si>
  <si>
    <t>Vin OFF</t>
  </si>
  <si>
    <t>V_IN_on</t>
  </si>
  <si>
    <t>V_IN_OFF</t>
  </si>
  <si>
    <t>V_IN_off</t>
  </si>
  <si>
    <t>V_UV_RISING</t>
  </si>
  <si>
    <t>V_UV_FALLING</t>
  </si>
  <si>
    <t>I_UV_HYST</t>
  </si>
  <si>
    <t>uA</t>
  </si>
  <si>
    <t>R_UV1</t>
  </si>
  <si>
    <t>R_UV2</t>
  </si>
  <si>
    <t>Selected R_UV1</t>
  </si>
  <si>
    <t>Selected R_UV2</t>
  </si>
  <si>
    <t>V_IN_ON</t>
  </si>
  <si>
    <t>nH</t>
  </si>
  <si>
    <t>L_Mag_Selected</t>
  </si>
  <si>
    <t>Np_Selected</t>
  </si>
  <si>
    <t>Ns2/Ns1</t>
  </si>
  <si>
    <t>Ns3/Ns1</t>
  </si>
  <si>
    <t>Ns4/Ns1</t>
  </si>
  <si>
    <t>Np  :Ns1 : Ns2 : Ns3 : Ns4 : Ns5</t>
  </si>
  <si>
    <t>kHz</t>
  </si>
  <si>
    <t>Turn Ratio</t>
  </si>
  <si>
    <t>Output1: Output2</t>
  </si>
  <si>
    <t>Output3: Output2</t>
  </si>
  <si>
    <t>Output4: Output2</t>
  </si>
  <si>
    <t>IC Peak Current</t>
  </si>
  <si>
    <t>Selected core AL value</t>
  </si>
  <si>
    <t>Primary no of turns</t>
  </si>
  <si>
    <t>Selected Primary no of turns</t>
  </si>
  <si>
    <t>Secondary Output 2 turns</t>
  </si>
  <si>
    <t>Secondary Output 1 turns</t>
  </si>
  <si>
    <t>Secondary Output 3 turns</t>
  </si>
  <si>
    <t>Secondary Output 4 turns</t>
  </si>
  <si>
    <t>Ratio</t>
  </si>
  <si>
    <t>Selected Turn ON</t>
  </si>
  <si>
    <t>Selected Turn OFF</t>
  </si>
  <si>
    <t>RUV1 Resistor Value</t>
  </si>
  <si>
    <t>RUV2 Resistor Value</t>
  </si>
  <si>
    <t>VD_REV_OUT2</t>
  </si>
  <si>
    <t>VD_REV_OUT1</t>
  </si>
  <si>
    <t>VD_REV_OUT3</t>
  </si>
  <si>
    <t>VD_REV_OUT4</t>
  </si>
  <si>
    <t>Flyback Diode – DFLY for Output 1</t>
  </si>
  <si>
    <t>Flyback Diode – DFLY for Output 2</t>
  </si>
  <si>
    <t>Flyback Diode – DFLY for Output 3</t>
  </si>
  <si>
    <t>Flyback Diode – DFLY for Output 4</t>
  </si>
  <si>
    <t>Selected primary inductor for Transformer</t>
  </si>
  <si>
    <t>Turn</t>
  </si>
  <si>
    <t>Symbol</t>
  </si>
  <si>
    <t>Datasheet Parameter's</t>
  </si>
  <si>
    <t>Input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</si>
</sst>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9" formatCode="0.0000"/>
    <numFmt numFmtId="170" formatCode="0.0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  <xf numFmtId="170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3</xdr:row>
      <xdr:rowOff>63500</xdr:rowOff>
    </xdr:from>
    <xdr:to>
      <xdr:col>14</xdr:col>
      <xdr:colOff>292381</xdr:colOff>
      <xdr:row>21</xdr:row>
      <xdr:rowOff>63652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A249880B-DC28-45A3-AD01-36C4283D4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54850" y="730250"/>
          <a:ext cx="5477156" cy="3318027"/>
        </a:xfrm>
        <a:prstGeom prst="rect">
          <a:avLst/>
        </a:prstGeom>
      </xdr:spPr>
    </xdr:pic>
    <xdr:clientData/>
  </xdr:twoCellAnchor>
  <xdr:twoCellAnchor editAs="oneCell">
    <xdr:from>
      <xdr:col>5</xdr:col>
      <xdr:colOff>342900</xdr:colOff>
      <xdr:row>61</xdr:row>
      <xdr:rowOff>114300</xdr:rowOff>
    </xdr:from>
    <xdr:to>
      <xdr:col>7</xdr:col>
      <xdr:colOff>139752</xdr:colOff>
      <xdr:row>63</xdr:row>
      <xdr:rowOff>139720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12992579-33DD-4613-AF4A-D68710406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13600" y="20758150"/>
          <a:ext cx="1019227" cy="396895"/>
        </a:xfrm>
        <a:prstGeom prst="rect">
          <a:avLst/>
        </a:prstGeom>
      </xdr:spPr>
    </xdr:pic>
    <xdr:clientData/>
  </xdr:twoCellAnchor>
  <xdr:twoCellAnchor editAs="oneCell">
    <xdr:from>
      <xdr:col>4</xdr:col>
      <xdr:colOff>158750</xdr:colOff>
      <xdr:row>39</xdr:row>
      <xdr:rowOff>63500</xdr:rowOff>
    </xdr:from>
    <xdr:to>
      <xdr:col>7</xdr:col>
      <xdr:colOff>600192</xdr:colOff>
      <xdr:row>39</xdr:row>
      <xdr:rowOff>720759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925DAB7D-B32E-489A-8027-931D4B093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99200" y="7518400"/>
          <a:ext cx="2273417" cy="657259"/>
        </a:xfrm>
        <a:prstGeom prst="rect">
          <a:avLst/>
        </a:prstGeom>
        <a:ln w="9525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4</xdr:col>
      <xdr:colOff>155575</xdr:colOff>
      <xdr:row>40</xdr:row>
      <xdr:rowOff>107950</xdr:rowOff>
    </xdr:from>
    <xdr:to>
      <xdr:col>8</xdr:col>
      <xdr:colOff>606573</xdr:colOff>
      <xdr:row>40</xdr:row>
      <xdr:rowOff>882689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80DD74E9-FA7F-435B-A018-3A69ECBDF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96025" y="8489950"/>
          <a:ext cx="2889398" cy="771564"/>
        </a:xfrm>
        <a:prstGeom prst="rect">
          <a:avLst/>
        </a:prstGeom>
        <a:ln w="9525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4</xdr:col>
      <xdr:colOff>155575</xdr:colOff>
      <xdr:row>41</xdr:row>
      <xdr:rowOff>107950</xdr:rowOff>
    </xdr:from>
    <xdr:to>
      <xdr:col>8</xdr:col>
      <xdr:colOff>149350</xdr:colOff>
      <xdr:row>42</xdr:row>
      <xdr:rowOff>901750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B39989AD-379E-49B1-BE23-520DDC82C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956175" y="7137400"/>
          <a:ext cx="2429000" cy="977950"/>
        </a:xfrm>
        <a:prstGeom prst="rect">
          <a:avLst/>
        </a:prstGeom>
        <a:ln w="9525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4</xdr:col>
      <xdr:colOff>133350</xdr:colOff>
      <xdr:row>47</xdr:row>
      <xdr:rowOff>177800</xdr:rowOff>
    </xdr:from>
    <xdr:to>
      <xdr:col>8</xdr:col>
      <xdr:colOff>577998</xdr:colOff>
      <xdr:row>47</xdr:row>
      <xdr:rowOff>733454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9DFA82A5-8754-472A-89AB-B5DD359AD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273800" y="12211050"/>
          <a:ext cx="2886223" cy="558829"/>
        </a:xfrm>
        <a:prstGeom prst="rect">
          <a:avLst/>
        </a:prstGeom>
        <a:ln w="9525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4</xdr:col>
      <xdr:colOff>165100</xdr:colOff>
      <xdr:row>43</xdr:row>
      <xdr:rowOff>28575</xdr:rowOff>
    </xdr:from>
    <xdr:to>
      <xdr:col>7</xdr:col>
      <xdr:colOff>352529</xdr:colOff>
      <xdr:row>43</xdr:row>
      <xdr:rowOff>581025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2261B79-F68C-4C9E-9A75-CF6E45E4B2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305550" y="10582275"/>
          <a:ext cx="2019404" cy="555625"/>
        </a:xfrm>
        <a:prstGeom prst="rect">
          <a:avLst/>
        </a:prstGeom>
        <a:ln w="9525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4</xdr:col>
      <xdr:colOff>142875</xdr:colOff>
      <xdr:row>48</xdr:row>
      <xdr:rowOff>120650</xdr:rowOff>
    </xdr:from>
    <xdr:to>
      <xdr:col>7</xdr:col>
      <xdr:colOff>285851</xdr:colOff>
      <xdr:row>48</xdr:row>
      <xdr:rowOff>701705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ABB48351-8E68-4C7D-BC49-3692986C1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283325" y="13081000"/>
          <a:ext cx="1971776" cy="581055"/>
        </a:xfrm>
        <a:prstGeom prst="rect">
          <a:avLst/>
        </a:prstGeom>
        <a:ln w="9525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4</xdr:col>
      <xdr:colOff>158750</xdr:colOff>
      <xdr:row>49</xdr:row>
      <xdr:rowOff>50800</xdr:rowOff>
    </xdr:from>
    <xdr:to>
      <xdr:col>9</xdr:col>
      <xdr:colOff>123980</xdr:colOff>
      <xdr:row>49</xdr:row>
      <xdr:rowOff>730285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7410B744-011A-4456-93DC-2F43F29A7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299200" y="13938250"/>
          <a:ext cx="3010055" cy="676310"/>
        </a:xfrm>
        <a:prstGeom prst="rect">
          <a:avLst/>
        </a:prstGeom>
        <a:ln w="9525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4</xdr:col>
      <xdr:colOff>142875</xdr:colOff>
      <xdr:row>50</xdr:row>
      <xdr:rowOff>41275</xdr:rowOff>
    </xdr:from>
    <xdr:to>
      <xdr:col>8</xdr:col>
      <xdr:colOff>387487</xdr:colOff>
      <xdr:row>51</xdr:row>
      <xdr:rowOff>711276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4C090A86-1F67-4EAC-9215-A1B45A4CD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283325" y="14855825"/>
          <a:ext cx="2679837" cy="1479626"/>
        </a:xfrm>
        <a:prstGeom prst="rect">
          <a:avLst/>
        </a:prstGeom>
        <a:ln w="9525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4</xdr:col>
      <xdr:colOff>107950</xdr:colOff>
      <xdr:row>53</xdr:row>
      <xdr:rowOff>79375</xdr:rowOff>
    </xdr:from>
    <xdr:to>
      <xdr:col>8</xdr:col>
      <xdr:colOff>19171</xdr:colOff>
      <xdr:row>54</xdr:row>
      <xdr:rowOff>504856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41BDC1CC-D328-40F5-A7DB-51FE719AEA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908550" y="13804900"/>
          <a:ext cx="2352796" cy="596931"/>
        </a:xfrm>
        <a:prstGeom prst="rect">
          <a:avLst/>
        </a:prstGeom>
        <a:ln w="9525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4</xdr:col>
      <xdr:colOff>101600</xdr:colOff>
      <xdr:row>55</xdr:row>
      <xdr:rowOff>76200</xdr:rowOff>
    </xdr:from>
    <xdr:to>
      <xdr:col>10</xdr:col>
      <xdr:colOff>183</xdr:colOff>
      <xdr:row>55</xdr:row>
      <xdr:rowOff>701707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FACF1066-5CC7-436F-8D7E-1E4F2E2B90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242050" y="17468850"/>
          <a:ext cx="3556183" cy="625507"/>
        </a:xfrm>
        <a:prstGeom prst="rect">
          <a:avLst/>
        </a:prstGeom>
        <a:ln w="9525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8</xdr:col>
      <xdr:colOff>114300</xdr:colOff>
      <xdr:row>59</xdr:row>
      <xdr:rowOff>19050</xdr:rowOff>
    </xdr:from>
    <xdr:to>
      <xdr:col>12</xdr:col>
      <xdr:colOff>19050</xdr:colOff>
      <xdr:row>76</xdr:row>
      <xdr:rowOff>64792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D289E7-D6B7-42B8-FA2A-9F71A5588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8696325" y="18659475"/>
          <a:ext cx="2343150" cy="31254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E8A5A-5E07-46A7-9EAA-44A8E7759DED}">
  <dimension ref="A1:I71"/>
  <sheetViews>
    <sheetView showGridLines="0"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N30" sqref="N30"/>
    </sheetView>
  </sheetViews>
  <sheetFormatPr defaultRowHeight="14.5"/>
  <cols>
    <col min="1" max="1" width="36.54296875" bestFit="1" customWidth="1"/>
    <col min="2" max="2" width="26.26953125" style="8" bestFit="1" customWidth="1"/>
    <col min="3" max="3" width="16.36328125" style="8" bestFit="1" customWidth="1"/>
    <col min="4" max="4" width="8.7265625" style="8" customWidth="1"/>
  </cols>
  <sheetData>
    <row r="1" spans="1:9" ht="15" thickBot="1">
      <c r="G1" s="21" t="s">
        <v>126</v>
      </c>
    </row>
    <row r="2" spans="1:9" ht="19" thickBot="1">
      <c r="A2" s="11" t="s">
        <v>74</v>
      </c>
      <c r="B2" s="12"/>
      <c r="C2" s="12"/>
      <c r="D2" s="12"/>
      <c r="E2" s="3"/>
      <c r="F2" s="3"/>
      <c r="G2" s="3"/>
      <c r="H2" s="3"/>
      <c r="I2" s="4"/>
    </row>
    <row r="3" spans="1:9" ht="18.5">
      <c r="A3" s="19" t="s">
        <v>0</v>
      </c>
      <c r="B3" s="20" t="s">
        <v>124</v>
      </c>
      <c r="C3" s="20" t="s">
        <v>1</v>
      </c>
      <c r="D3" s="20" t="s">
        <v>2</v>
      </c>
      <c r="E3" s="1"/>
      <c r="F3" s="1"/>
      <c r="G3" s="1"/>
      <c r="H3" s="1"/>
      <c r="I3" s="1"/>
    </row>
    <row r="4" spans="1:9">
      <c r="A4" s="16" t="s">
        <v>3</v>
      </c>
      <c r="B4" s="15" t="s">
        <v>4</v>
      </c>
      <c r="C4" s="21">
        <v>9</v>
      </c>
      <c r="D4" s="15" t="s">
        <v>5</v>
      </c>
    </row>
    <row r="5" spans="1:9">
      <c r="A5" s="16" t="s">
        <v>6</v>
      </c>
      <c r="B5" s="15" t="s">
        <v>7</v>
      </c>
      <c r="C5" s="21">
        <v>30</v>
      </c>
      <c r="D5" s="15" t="s">
        <v>5</v>
      </c>
    </row>
    <row r="6" spans="1:9">
      <c r="A6" s="16" t="s">
        <v>8</v>
      </c>
      <c r="B6" s="15" t="s">
        <v>9</v>
      </c>
      <c r="C6" s="21">
        <v>46</v>
      </c>
      <c r="D6" s="15" t="s">
        <v>5</v>
      </c>
    </row>
    <row r="7" spans="1:9">
      <c r="A7" s="16" t="s">
        <v>10</v>
      </c>
      <c r="B7" s="15" t="s">
        <v>11</v>
      </c>
      <c r="C7" s="21">
        <v>5.0000000000000001E-3</v>
      </c>
      <c r="D7" s="15" t="s">
        <v>12</v>
      </c>
    </row>
    <row r="8" spans="1:9">
      <c r="A8" s="16" t="s">
        <v>13</v>
      </c>
      <c r="B8" s="15" t="s">
        <v>14</v>
      </c>
      <c r="C8" s="21">
        <v>14</v>
      </c>
      <c r="D8" s="15" t="s">
        <v>5</v>
      </c>
    </row>
    <row r="9" spans="1:9">
      <c r="A9" s="16" t="s">
        <v>15</v>
      </c>
      <c r="B9" s="15" t="s">
        <v>16</v>
      </c>
      <c r="C9" s="21">
        <v>0.1</v>
      </c>
      <c r="D9" s="15" t="s">
        <v>12</v>
      </c>
    </row>
    <row r="10" spans="1:9">
      <c r="A10" s="16" t="s">
        <v>17</v>
      </c>
      <c r="B10" s="15" t="s">
        <v>18</v>
      </c>
      <c r="C10" s="21">
        <v>-14</v>
      </c>
      <c r="D10" s="15" t="s">
        <v>5</v>
      </c>
    </row>
    <row r="11" spans="1:9">
      <c r="A11" s="16" t="s">
        <v>19</v>
      </c>
      <c r="B11" s="15" t="s">
        <v>20</v>
      </c>
      <c r="C11" s="21">
        <v>-0.02</v>
      </c>
      <c r="D11" s="15" t="s">
        <v>12</v>
      </c>
    </row>
    <row r="12" spans="1:9">
      <c r="A12" s="16" t="s">
        <v>21</v>
      </c>
      <c r="B12" s="15" t="s">
        <v>22</v>
      </c>
      <c r="C12" s="21">
        <v>-46</v>
      </c>
      <c r="D12" s="15" t="s">
        <v>5</v>
      </c>
    </row>
    <row r="13" spans="1:9">
      <c r="A13" s="16" t="s">
        <v>23</v>
      </c>
      <c r="B13" s="15" t="s">
        <v>24</v>
      </c>
      <c r="C13" s="21">
        <v>-5.0000000000000001E-3</v>
      </c>
      <c r="D13" s="15" t="s">
        <v>12</v>
      </c>
    </row>
    <row r="14" spans="1:9">
      <c r="A14" s="16" t="s">
        <v>25</v>
      </c>
      <c r="B14" s="15" t="s">
        <v>26</v>
      </c>
      <c r="C14" s="21">
        <v>6</v>
      </c>
      <c r="D14" s="15" t="s">
        <v>5</v>
      </c>
    </row>
    <row r="15" spans="1:9">
      <c r="A15" s="16" t="s">
        <v>27</v>
      </c>
      <c r="B15" s="15" t="s">
        <v>28</v>
      </c>
      <c r="C15" s="21">
        <v>0.04</v>
      </c>
      <c r="D15" s="15" t="s">
        <v>12</v>
      </c>
    </row>
    <row r="16" spans="1:9">
      <c r="A16" s="16" t="s">
        <v>36</v>
      </c>
      <c r="B16" s="15" t="s">
        <v>37</v>
      </c>
      <c r="C16" s="21">
        <v>0.7</v>
      </c>
      <c r="D16" s="15" t="s">
        <v>5</v>
      </c>
    </row>
    <row r="17" spans="1:9">
      <c r="A17" s="16" t="s">
        <v>75</v>
      </c>
      <c r="B17" s="15" t="s">
        <v>77</v>
      </c>
      <c r="C17" s="21">
        <v>8</v>
      </c>
      <c r="D17" s="15" t="s">
        <v>5</v>
      </c>
    </row>
    <row r="18" spans="1:9">
      <c r="A18" s="16" t="s">
        <v>76</v>
      </c>
      <c r="B18" s="15" t="s">
        <v>79</v>
      </c>
      <c r="C18" s="21">
        <v>7</v>
      </c>
      <c r="D18" s="15" t="s">
        <v>5</v>
      </c>
    </row>
    <row r="19" spans="1:9">
      <c r="A19" s="16" t="s">
        <v>29</v>
      </c>
      <c r="B19" s="15" t="s">
        <v>30</v>
      </c>
      <c r="C19" s="15">
        <f>(C6*C7)+(C8*C9)+(C10*C11)+(C12*C13)+(C14*C15)</f>
        <v>2.38</v>
      </c>
      <c r="D19" s="15" t="s">
        <v>31</v>
      </c>
    </row>
    <row r="20" spans="1:9">
      <c r="A20" s="16" t="s">
        <v>34</v>
      </c>
      <c r="B20" s="15" t="s">
        <v>35</v>
      </c>
      <c r="C20" s="22">
        <f>C19/C27</f>
        <v>3.4</v>
      </c>
      <c r="D20" s="15" t="s">
        <v>31</v>
      </c>
    </row>
    <row r="21" spans="1:9">
      <c r="C21" s="10"/>
    </row>
    <row r="22" spans="1:9" ht="15" thickBot="1"/>
    <row r="23" spans="1:9" ht="19" thickBot="1">
      <c r="A23" s="11" t="s">
        <v>125</v>
      </c>
      <c r="B23" s="12"/>
      <c r="C23" s="12"/>
      <c r="D23" s="12"/>
      <c r="E23" s="3"/>
      <c r="F23" s="3"/>
      <c r="G23" s="3"/>
      <c r="H23" s="3"/>
      <c r="I23" s="4"/>
    </row>
    <row r="24" spans="1:9">
      <c r="A24" s="13" t="s">
        <v>49</v>
      </c>
      <c r="B24" s="14" t="s">
        <v>50</v>
      </c>
      <c r="C24" s="15">
        <v>0.6</v>
      </c>
      <c r="D24" s="15"/>
    </row>
    <row r="25" spans="1:9">
      <c r="A25" s="13" t="s">
        <v>56</v>
      </c>
      <c r="B25" s="14" t="s">
        <v>54</v>
      </c>
      <c r="C25" s="15">
        <v>450</v>
      </c>
      <c r="D25" s="14" t="s">
        <v>55</v>
      </c>
    </row>
    <row r="26" spans="1:9">
      <c r="A26" s="13" t="s">
        <v>57</v>
      </c>
      <c r="B26" s="14" t="s">
        <v>58</v>
      </c>
      <c r="C26" s="15">
        <v>0.3</v>
      </c>
      <c r="D26" s="14" t="s">
        <v>12</v>
      </c>
    </row>
    <row r="27" spans="1:9">
      <c r="A27" s="16" t="s">
        <v>32</v>
      </c>
      <c r="B27" s="15" t="s">
        <v>33</v>
      </c>
      <c r="C27" s="15">
        <v>0.7</v>
      </c>
      <c r="D27" s="15"/>
    </row>
    <row r="28" spans="1:9">
      <c r="A28" s="17" t="s">
        <v>101</v>
      </c>
      <c r="B28" s="14" t="s">
        <v>62</v>
      </c>
      <c r="C28" s="15">
        <v>1.5</v>
      </c>
      <c r="D28" s="14" t="s">
        <v>12</v>
      </c>
    </row>
    <row r="29" spans="1:9">
      <c r="A29" s="13" t="s">
        <v>71</v>
      </c>
      <c r="B29" s="14" t="s">
        <v>72</v>
      </c>
      <c r="C29" s="15">
        <v>4</v>
      </c>
      <c r="D29" s="14" t="s">
        <v>73</v>
      </c>
    </row>
    <row r="30" spans="1:9">
      <c r="A30" s="16"/>
      <c r="B30" s="14" t="s">
        <v>80</v>
      </c>
      <c r="C30" s="15">
        <v>1.5</v>
      </c>
      <c r="D30" s="14" t="s">
        <v>5</v>
      </c>
    </row>
    <row r="31" spans="1:9">
      <c r="A31" s="16"/>
      <c r="B31" s="14" t="s">
        <v>81</v>
      </c>
      <c r="C31" s="15">
        <v>1.45</v>
      </c>
      <c r="D31" s="14" t="s">
        <v>5</v>
      </c>
    </row>
    <row r="32" spans="1:9">
      <c r="A32" s="16"/>
      <c r="B32" s="14" t="s">
        <v>82</v>
      </c>
      <c r="C32" s="15">
        <v>5</v>
      </c>
      <c r="D32" s="14" t="s">
        <v>83</v>
      </c>
    </row>
    <row r="33" spans="1:9">
      <c r="A33" s="16" t="s">
        <v>38</v>
      </c>
      <c r="B33" s="18" t="s">
        <v>39</v>
      </c>
      <c r="C33" s="15">
        <v>350</v>
      </c>
      <c r="D33" s="14" t="s">
        <v>96</v>
      </c>
    </row>
    <row r="34" spans="1:9">
      <c r="B34" s="9"/>
      <c r="D34" s="9"/>
    </row>
    <row r="35" spans="1:9" ht="15" thickBot="1">
      <c r="B35" s="9"/>
    </row>
    <row r="36" spans="1:9" ht="21.5" thickBot="1">
      <c r="A36" s="23" t="s">
        <v>70</v>
      </c>
      <c r="B36" s="24"/>
      <c r="C36" s="24"/>
      <c r="D36" s="24"/>
      <c r="E36" s="6"/>
      <c r="F36" s="6"/>
      <c r="G36" s="6"/>
      <c r="H36" s="6"/>
      <c r="I36" s="7"/>
    </row>
    <row r="37" spans="1:9">
      <c r="A37" s="16" t="s">
        <v>98</v>
      </c>
      <c r="B37" s="14" t="s">
        <v>92</v>
      </c>
      <c r="C37" s="25">
        <f>(C6+C16)/(C8+C16)</f>
        <v>3.1768707482993199</v>
      </c>
      <c r="D37" s="14"/>
      <c r="E37" s="2"/>
      <c r="F37" s="2"/>
      <c r="G37" s="2"/>
      <c r="H37" s="2"/>
      <c r="I37" s="2"/>
    </row>
    <row r="38" spans="1:9">
      <c r="A38" s="16" t="s">
        <v>99</v>
      </c>
      <c r="B38" s="14" t="s">
        <v>93</v>
      </c>
      <c r="C38" s="26">
        <f>(-C10+C16)/(C8+C16)</f>
        <v>1</v>
      </c>
      <c r="D38" s="14"/>
      <c r="E38" s="2"/>
      <c r="F38" s="2"/>
      <c r="G38" s="2"/>
      <c r="H38" s="2"/>
      <c r="I38" s="2"/>
    </row>
    <row r="39" spans="1:9">
      <c r="A39" s="16" t="s">
        <v>100</v>
      </c>
      <c r="B39" s="14" t="s">
        <v>94</v>
      </c>
      <c r="C39" s="25">
        <f>(-C12+C16)/(C8+C16)</f>
        <v>3.1768707482993199</v>
      </c>
      <c r="D39" s="14"/>
      <c r="E39" s="2"/>
      <c r="F39" s="2"/>
      <c r="G39" s="2"/>
      <c r="H39" s="2"/>
      <c r="I39" s="2"/>
    </row>
    <row r="40" spans="1:9" ht="73" customHeight="1">
      <c r="A40" s="13" t="s">
        <v>51</v>
      </c>
      <c r="B40" s="14" t="s">
        <v>48</v>
      </c>
      <c r="C40" s="27">
        <f>(C24/(1-C24))*(C4/(C8+C16))</f>
        <v>0.91836734693877542</v>
      </c>
      <c r="D40" s="15"/>
    </row>
    <row r="41" spans="1:9" ht="73" customHeight="1">
      <c r="A41" s="13" t="s">
        <v>52</v>
      </c>
      <c r="B41" s="14" t="s">
        <v>53</v>
      </c>
      <c r="C41" s="15">
        <f>(((C8+C16)*C40*C25*10^-9)/C26)*10^6</f>
        <v>20.249999999999996</v>
      </c>
      <c r="D41" s="14" t="s">
        <v>59</v>
      </c>
    </row>
    <row r="42" spans="1:9">
      <c r="A42" s="17" t="s">
        <v>122</v>
      </c>
      <c r="B42" s="14" t="s">
        <v>90</v>
      </c>
      <c r="C42" s="21">
        <v>30</v>
      </c>
      <c r="D42" s="14" t="s">
        <v>59</v>
      </c>
    </row>
    <row r="43" spans="1:9" ht="83.5" customHeight="1">
      <c r="A43" s="13" t="s">
        <v>60</v>
      </c>
      <c r="B43" s="14" t="s">
        <v>61</v>
      </c>
      <c r="C43" s="22">
        <f>((C27/2)*(C28/((C8/C4)+(1/C40))))*10^3</f>
        <v>198.52941176470583</v>
      </c>
      <c r="D43" s="15" t="s">
        <v>47</v>
      </c>
    </row>
    <row r="44" spans="1:9" ht="73" customHeight="1">
      <c r="A44" s="17" t="s">
        <v>119</v>
      </c>
      <c r="B44" s="18" t="s">
        <v>114</v>
      </c>
      <c r="C44" s="28">
        <f>(C5/C40)+C8</f>
        <v>46.666666666666671</v>
      </c>
      <c r="D44" s="15" t="s">
        <v>5</v>
      </c>
    </row>
    <row r="45" spans="1:9">
      <c r="A45" s="17" t="s">
        <v>118</v>
      </c>
      <c r="B45" s="18" t="s">
        <v>115</v>
      </c>
      <c r="C45" s="28">
        <f>(C5/C40)+C6</f>
        <v>78.666666666666671</v>
      </c>
      <c r="D45" s="15" t="s">
        <v>5</v>
      </c>
    </row>
    <row r="46" spans="1:9">
      <c r="A46" s="17" t="s">
        <v>120</v>
      </c>
      <c r="B46" s="18" t="s">
        <v>116</v>
      </c>
      <c r="C46" s="28">
        <f>(C5/C40)+(-C10)</f>
        <v>46.666666666666671</v>
      </c>
      <c r="D46" s="15" t="s">
        <v>5</v>
      </c>
    </row>
    <row r="47" spans="1:9">
      <c r="A47" s="17" t="s">
        <v>121</v>
      </c>
      <c r="B47" s="18" t="s">
        <v>117</v>
      </c>
      <c r="C47" s="28">
        <f>(C5/C40)+(-C12)</f>
        <v>78.666666666666671</v>
      </c>
      <c r="D47" s="15" t="s">
        <v>5</v>
      </c>
    </row>
    <row r="48" spans="1:9" ht="73" customHeight="1">
      <c r="A48" s="13" t="s">
        <v>69</v>
      </c>
      <c r="B48" s="14" t="s">
        <v>63</v>
      </c>
      <c r="C48" s="15">
        <f>1.5*C40*(C8+C16)</f>
        <v>20.249999999999996</v>
      </c>
      <c r="D48" s="15" t="s">
        <v>5</v>
      </c>
    </row>
    <row r="49" spans="1:9" ht="73" customHeight="1">
      <c r="A49" s="13" t="s">
        <v>68</v>
      </c>
      <c r="B49" s="14" t="s">
        <v>64</v>
      </c>
      <c r="C49" s="29">
        <f>((C8+C16)*C40)/0.1</f>
        <v>134.99999999999997</v>
      </c>
      <c r="D49" s="14" t="s">
        <v>65</v>
      </c>
    </row>
    <row r="50" spans="1:9" ht="73" customHeight="1">
      <c r="A50" s="13" t="s">
        <v>67</v>
      </c>
      <c r="B50" s="14" t="s">
        <v>66</v>
      </c>
      <c r="C50" s="15">
        <f>(C49/C40)*(3/C29)</f>
        <v>110.24999999999997</v>
      </c>
      <c r="D50" s="14" t="s">
        <v>65</v>
      </c>
    </row>
    <row r="51" spans="1:9" ht="64" customHeight="1">
      <c r="A51" s="17" t="s">
        <v>112</v>
      </c>
      <c r="B51" s="14" t="s">
        <v>84</v>
      </c>
      <c r="C51" s="22">
        <f>((C17*(C31/C30))-C18)/(C32*10^-6)/1000</f>
        <v>146.66666666666669</v>
      </c>
      <c r="D51" s="15" t="s">
        <v>65</v>
      </c>
    </row>
    <row r="52" spans="1:9" ht="61" customHeight="1">
      <c r="A52" s="17" t="s">
        <v>113</v>
      </c>
      <c r="B52" s="14" t="s">
        <v>85</v>
      </c>
      <c r="C52" s="22">
        <f>C51*(C30/(C17-C30))</f>
        <v>33.846153846153854</v>
      </c>
      <c r="D52" s="15" t="s">
        <v>65</v>
      </c>
    </row>
    <row r="53" spans="1:9">
      <c r="A53" s="13" t="s">
        <v>86</v>
      </c>
      <c r="B53" s="15"/>
      <c r="C53" s="21">
        <v>150</v>
      </c>
      <c r="D53" s="15" t="s">
        <v>65</v>
      </c>
    </row>
    <row r="54" spans="1:9">
      <c r="A54" s="13" t="s">
        <v>87</v>
      </c>
      <c r="B54" s="15"/>
      <c r="C54" s="21">
        <v>33</v>
      </c>
      <c r="D54" s="15" t="s">
        <v>65</v>
      </c>
    </row>
    <row r="55" spans="1:9" ht="49" customHeight="1">
      <c r="A55" s="17" t="s">
        <v>110</v>
      </c>
      <c r="B55" s="14" t="s">
        <v>88</v>
      </c>
      <c r="C55" s="22">
        <f>C30*(1+(C53/C54))</f>
        <v>8.3181818181818183</v>
      </c>
      <c r="D55" s="15" t="s">
        <v>5</v>
      </c>
    </row>
    <row r="56" spans="1:9" ht="59.5" customHeight="1">
      <c r="A56" s="17" t="s">
        <v>111</v>
      </c>
      <c r="B56" s="14" t="s">
        <v>78</v>
      </c>
      <c r="C56" s="22">
        <f>(C31*(1+(C53/C54)))-(C32*10^-6*C53*10^3)</f>
        <v>7.290909090909091</v>
      </c>
      <c r="D56" s="15" t="s">
        <v>5</v>
      </c>
    </row>
    <row r="57" spans="1:9" ht="15" thickBot="1"/>
    <row r="58" spans="1:9" ht="21.5" thickBot="1">
      <c r="A58" s="5" t="s">
        <v>40</v>
      </c>
      <c r="B58" s="6"/>
      <c r="C58" s="6"/>
      <c r="D58" s="6"/>
      <c r="E58" s="6"/>
      <c r="F58" s="6"/>
      <c r="G58" s="6"/>
      <c r="H58" s="6"/>
      <c r="I58" s="7"/>
    </row>
    <row r="60" spans="1:9">
      <c r="A60" s="16" t="s">
        <v>97</v>
      </c>
      <c r="B60" s="15" t="s">
        <v>48</v>
      </c>
      <c r="C60" s="27">
        <f>C40</f>
        <v>0.91836734693877542</v>
      </c>
      <c r="D60" s="15"/>
    </row>
    <row r="61" spans="1:9">
      <c r="A61" s="16" t="s">
        <v>98</v>
      </c>
      <c r="B61" s="14" t="s">
        <v>92</v>
      </c>
      <c r="C61" s="27">
        <f>C37</f>
        <v>3.1768707482993199</v>
      </c>
      <c r="D61" s="15"/>
    </row>
    <row r="62" spans="1:9">
      <c r="A62" s="16" t="s">
        <v>99</v>
      </c>
      <c r="B62" s="14" t="s">
        <v>93</v>
      </c>
      <c r="C62" s="27">
        <f>C38</f>
        <v>1</v>
      </c>
      <c r="D62" s="15"/>
    </row>
    <row r="63" spans="1:9">
      <c r="A63" s="16" t="s">
        <v>100</v>
      </c>
      <c r="B63" s="14" t="s">
        <v>94</v>
      </c>
      <c r="C63" s="27">
        <f>C39</f>
        <v>3.1768707482993199</v>
      </c>
      <c r="D63" s="15"/>
    </row>
    <row r="64" spans="1:9">
      <c r="A64" s="16" t="s">
        <v>109</v>
      </c>
      <c r="B64" s="15" t="s">
        <v>95</v>
      </c>
      <c r="C64" s="15" t="str">
        <f>CONCATENATE("1 : ",ROUND(1/C40,1)," : ",(ROUND(C37,1))," : ",(ROUND(C38,1))," : ",(ROUND(C39,1)))</f>
        <v>1 : 1.1 : 3.2 : 1 : 3.2</v>
      </c>
      <c r="D64" s="15"/>
    </row>
    <row r="65" spans="1:4">
      <c r="A65" s="16" t="s">
        <v>102</v>
      </c>
      <c r="B65" s="15" t="s">
        <v>41</v>
      </c>
      <c r="C65" s="15">
        <v>140</v>
      </c>
      <c r="D65" s="15" t="s">
        <v>89</v>
      </c>
    </row>
    <row r="66" spans="1:4">
      <c r="A66" s="16" t="s">
        <v>103</v>
      </c>
      <c r="B66" s="15" t="s">
        <v>42</v>
      </c>
      <c r="C66" s="28">
        <f>SQRT((C42*10^-6)/(C65*10^-9))</f>
        <v>14.638501094227996</v>
      </c>
      <c r="D66" s="15" t="s">
        <v>123</v>
      </c>
    </row>
    <row r="67" spans="1:4">
      <c r="A67" s="16" t="s">
        <v>104</v>
      </c>
      <c r="B67" s="15" t="s">
        <v>91</v>
      </c>
      <c r="C67" s="21">
        <v>15</v>
      </c>
      <c r="D67" s="15" t="s">
        <v>123</v>
      </c>
    </row>
    <row r="68" spans="1:4">
      <c r="A68" s="16" t="s">
        <v>105</v>
      </c>
      <c r="B68" s="15" t="s">
        <v>43</v>
      </c>
      <c r="C68" s="28">
        <f>C67/C60</f>
        <v>16.333333333333336</v>
      </c>
      <c r="D68" s="15" t="s">
        <v>123</v>
      </c>
    </row>
    <row r="69" spans="1:4">
      <c r="A69" s="16" t="s">
        <v>106</v>
      </c>
      <c r="B69" s="15" t="s">
        <v>44</v>
      </c>
      <c r="C69" s="28">
        <f>(C68*C61)-C68</f>
        <v>35.555555555555564</v>
      </c>
      <c r="D69" s="15" t="s">
        <v>123</v>
      </c>
    </row>
    <row r="70" spans="1:4">
      <c r="A70" s="16" t="s">
        <v>107</v>
      </c>
      <c r="B70" s="15" t="s">
        <v>45</v>
      </c>
      <c r="C70" s="28">
        <f>C68*C62</f>
        <v>16.333333333333336</v>
      </c>
      <c r="D70" s="15" t="s">
        <v>123</v>
      </c>
    </row>
    <row r="71" spans="1:4">
      <c r="A71" s="16" t="s">
        <v>108</v>
      </c>
      <c r="B71" s="15" t="s">
        <v>46</v>
      </c>
      <c r="C71" s="28">
        <f>(C68*C63)-C70</f>
        <v>35.555555555555564</v>
      </c>
      <c r="D71" s="15" t="s">
        <v>123</v>
      </c>
    </row>
  </sheetData>
  <mergeCells count="4">
    <mergeCell ref="A2:I2"/>
    <mergeCell ref="A23:I23"/>
    <mergeCell ref="A36:I36"/>
    <mergeCell ref="A58:I58"/>
  </mergeCells>
  <phoneticPr fontId="5" type="noConversion"/>
  <pageMargins left="0.7" right="0.7" top="0.75" bottom="0.75" header="0.3" footer="0.3"/>
  <ignoredErrors>
    <ignoredError sqref="C70" formula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801e135-84e4-4cca-8635-454f3ab7ae3c" xsi:nil="true"/>
    <lcf76f155ced4ddcb4097134ff3c332f xmlns="cbb89214-9873-4dfb-9ea2-383cb916604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36287A4468BD408A749106A41EE93D" ma:contentTypeVersion="14" ma:contentTypeDescription="Create a new document." ma:contentTypeScope="" ma:versionID="b3697daa2bfcc254f9beb93a558d4968">
  <xsd:schema xmlns:xsd="http://www.w3.org/2001/XMLSchema" xmlns:xs="http://www.w3.org/2001/XMLSchema" xmlns:p="http://schemas.microsoft.com/office/2006/metadata/properties" xmlns:ns2="cbb89214-9873-4dfb-9ea2-383cb916604e" xmlns:ns3="0801e135-84e4-4cca-8635-454f3ab7ae3c" targetNamespace="http://schemas.microsoft.com/office/2006/metadata/properties" ma:root="true" ma:fieldsID="17f800662abc6dcf4daf8d38579f6456" ns2:_="" ns3:_="">
    <xsd:import namespace="cbb89214-9873-4dfb-9ea2-383cb916604e"/>
    <xsd:import namespace="0801e135-84e4-4cca-8635-454f3ab7ae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b89214-9873-4dfb-9ea2-383cb91660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f4ef00cb-2158-49cd-9f8e-33902c81a6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01e135-84e4-4cca-8635-454f3ab7ae3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4febe1a-3ee0-4c54-a249-081240b3a84e}" ma:internalName="TaxCatchAll" ma:showField="CatchAllData" ma:web="0801e135-84e4-4cca-8635-454f3ab7ae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E2235E-FE34-4A72-AF5E-BF060BAA8BD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7A7274-1235-4A14-ADA2-0FB87663CD50}">
  <ds:schemaRefs>
    <ds:schemaRef ds:uri="http://schemas.microsoft.com/office/2006/metadata/properties"/>
    <ds:schemaRef ds:uri="http://schemas.microsoft.com/office/infopath/2007/PartnerControls"/>
    <ds:schemaRef ds:uri="0801e135-84e4-4cca-8635-454f3ab7ae3c"/>
    <ds:schemaRef ds:uri="cbb89214-9873-4dfb-9ea2-383cb916604e"/>
  </ds:schemaRefs>
</ds:datastoreItem>
</file>

<file path=customXml/itemProps3.xml><?xml version="1.0" encoding="utf-8"?>
<ds:datastoreItem xmlns:ds="http://schemas.openxmlformats.org/officeDocument/2006/customXml" ds:itemID="{0129FF41-6EA8-44FB-BA70-8A258D7E82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b89214-9873-4dfb-9ea2-383cb916604e"/>
    <ds:schemaRef ds:uri="0801e135-84e4-4cca-8635-454f3ab7ae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LM25180_4OUT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devswarup.mohanty</dc:creator>
  <cp:keywords/>
  <dc:description/>
  <cp:lastModifiedBy>Suresh Yadav</cp:lastModifiedBy>
  <cp:revision/>
  <dcterms:created xsi:type="dcterms:W3CDTF">2025-05-14T03:43:00Z</dcterms:created>
  <dcterms:modified xsi:type="dcterms:W3CDTF">2025-07-15T13:37:02Z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DB35514BB75048B08CBA79341BF42D0F_11</vt:lpwstr>
  </property>
  <property fmtid="{D5CDD505-2E9C-101B-9397-08002B2CF9AE}" pid="3" name="KSOProductBuildVer">
    <vt:lpwstr>1033-12.2.0.21179</vt:lpwstr>
  </property>
  <property fmtid="{D5CDD505-2E9C-101B-9397-08002B2CF9AE}" pid="4" name="ContentTypeId">
    <vt:lpwstr>0x0101007836287A4468BD408A749106A41EE93D</vt:lpwstr>
  </property>
  <property fmtid="{D5CDD505-2E9C-101B-9397-08002B2CF9AE}" pid="5" name="MediaServiceImageTags">
    <vt:lpwstr/>
  </property>
</Properties>
</file>